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d.docs.live.net/5b15b24f5e5a1067/Desktop/Akcja szkoła 2024 marketing i zamównik/"/>
    </mc:Choice>
  </mc:AlternateContent>
  <xr:revisionPtr revIDLastSave="1828" documentId="11_10362A1BB510E61BEF3C6204189D3A000D603776" xr6:coauthVersionLast="47" xr6:coauthVersionMax="47" xr10:uidLastSave="{652AA998-600F-48A5-A065-EB551EB5C67F}"/>
  <bookViews>
    <workbookView xWindow="-108" yWindow="-108" windowWidth="23256" windowHeight="12456" xr2:uid="{00000000-000D-0000-FFFF-FFFF00000000}"/>
  </bookViews>
  <sheets>
    <sheet name="OGÓLNA" sheetId="1" r:id="rId1"/>
  </sheets>
  <definedNames>
    <definedName name="_xlnm._FilterDatabase" localSheetId="0" hidden="1">OGÓLNA!$A$7:$J$344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4" i="1" l="1"/>
  <c r="E43" i="1"/>
  <c r="E42" i="1"/>
  <c r="E41" i="1"/>
  <c r="E40" i="1"/>
  <c r="E52" i="1"/>
  <c r="E51" i="1"/>
  <c r="E50" i="1"/>
  <c r="E49" i="1"/>
  <c r="E48" i="1"/>
  <c r="E47" i="1"/>
  <c r="E57" i="1"/>
  <c r="E56" i="1"/>
  <c r="E55" i="1"/>
  <c r="E64" i="1"/>
  <c r="E63" i="1"/>
  <c r="E62" i="1"/>
  <c r="E61" i="1"/>
  <c r="E60" i="1"/>
  <c r="E68" i="1"/>
  <c r="E67" i="1"/>
  <c r="E74" i="1"/>
  <c r="E73" i="1"/>
  <c r="E72" i="1"/>
  <c r="E71" i="1"/>
  <c r="E80" i="1"/>
  <c r="E79" i="1"/>
  <c r="E78" i="1"/>
  <c r="E77" i="1"/>
  <c r="E85" i="1"/>
  <c r="E84" i="1"/>
  <c r="E83" i="1"/>
  <c r="E91" i="1"/>
  <c r="E90" i="1"/>
  <c r="E89" i="1"/>
  <c r="E99" i="1"/>
  <c r="E98" i="1"/>
  <c r="E97" i="1"/>
  <c r="E96" i="1"/>
  <c r="E95" i="1"/>
  <c r="E94" i="1"/>
  <c r="E105" i="1"/>
  <c r="E104" i="1"/>
  <c r="E103" i="1"/>
  <c r="E102" i="1"/>
  <c r="E110" i="1"/>
  <c r="E109" i="1"/>
  <c r="E108" i="1"/>
  <c r="E115" i="1"/>
  <c r="E114" i="1"/>
  <c r="E113" i="1"/>
  <c r="E120" i="1"/>
  <c r="E119" i="1"/>
  <c r="E118" i="1"/>
  <c r="E125" i="1"/>
  <c r="E124" i="1"/>
  <c r="E123" i="1"/>
  <c r="E132" i="1"/>
  <c r="E131" i="1"/>
  <c r="E130" i="1"/>
  <c r="E129" i="1"/>
  <c r="E128" i="1"/>
  <c r="E136" i="1"/>
  <c r="E135" i="1"/>
  <c r="E144" i="1"/>
  <c r="E143" i="1"/>
  <c r="E142" i="1"/>
  <c r="E141" i="1"/>
  <c r="E140" i="1"/>
  <c r="E139" i="1"/>
  <c r="E149" i="1"/>
  <c r="E148" i="1"/>
  <c r="E153" i="1"/>
  <c r="E152" i="1"/>
  <c r="E160" i="1"/>
  <c r="E159" i="1"/>
  <c r="E158" i="1"/>
  <c r="E157" i="1"/>
  <c r="E156" i="1"/>
  <c r="E169" i="1"/>
  <c r="E168" i="1"/>
  <c r="E167" i="1"/>
  <c r="E166" i="1"/>
  <c r="E165" i="1"/>
  <c r="E164" i="1"/>
  <c r="E163" i="1"/>
  <c r="E176" i="1"/>
  <c r="E175" i="1"/>
  <c r="E174" i="1"/>
  <c r="E173" i="1"/>
  <c r="E172" i="1"/>
  <c r="E181" i="1"/>
  <c r="E180" i="1"/>
  <c r="E179" i="1"/>
  <c r="E190" i="1"/>
  <c r="E189" i="1"/>
  <c r="E188" i="1"/>
  <c r="E187" i="1"/>
  <c r="E186" i="1"/>
  <c r="E185" i="1"/>
  <c r="E184" i="1"/>
  <c r="E197" i="1"/>
  <c r="E196" i="1"/>
  <c r="E195" i="1"/>
  <c r="E194" i="1"/>
  <c r="E193" i="1"/>
  <c r="E205" i="1"/>
  <c r="E204" i="1"/>
  <c r="E203" i="1"/>
  <c r="E202" i="1"/>
  <c r="E201" i="1"/>
  <c r="E200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2" i="1"/>
  <c r="E271" i="1"/>
  <c r="E270" i="1"/>
  <c r="E269" i="1"/>
  <c r="E266" i="1"/>
  <c r="E265" i="1"/>
  <c r="E264" i="1"/>
  <c r="E263" i="1"/>
  <c r="E262" i="1"/>
  <c r="E261" i="1"/>
  <c r="E260" i="1"/>
  <c r="E259" i="1"/>
  <c r="E258" i="1"/>
  <c r="E257" i="1"/>
  <c r="E256" i="1"/>
  <c r="E254" i="1"/>
  <c r="E253" i="1"/>
  <c r="E252" i="1"/>
  <c r="E251" i="1"/>
  <c r="E250" i="1"/>
  <c r="E249" i="1"/>
  <c r="E248" i="1"/>
  <c r="E247" i="1"/>
  <c r="E246" i="1"/>
  <c r="E243" i="1"/>
  <c r="E241" i="1"/>
  <c r="E240" i="1"/>
  <c r="E239" i="1"/>
  <c r="E238" i="1"/>
  <c r="E235" i="1"/>
  <c r="E234" i="1"/>
  <c r="E233" i="1"/>
  <c r="E232" i="1"/>
  <c r="J266" i="1"/>
  <c r="J265" i="1"/>
  <c r="J264" i="1"/>
  <c r="J263" i="1"/>
  <c r="J262" i="1"/>
  <c r="J261" i="1"/>
  <c r="J260" i="1"/>
  <c r="J259" i="1"/>
  <c r="J258" i="1"/>
  <c r="J257" i="1"/>
  <c r="J256" i="1"/>
  <c r="J254" i="1"/>
  <c r="J253" i="1"/>
  <c r="J252" i="1"/>
  <c r="J251" i="1"/>
  <c r="J250" i="1"/>
  <c r="J249" i="1"/>
  <c r="J248" i="1"/>
  <c r="J247" i="1"/>
  <c r="J246" i="1"/>
  <c r="J242" i="1"/>
  <c r="J241" i="1"/>
  <c r="J240" i="1"/>
  <c r="J239" i="1"/>
  <c r="J23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197" i="1"/>
  <c r="J194" i="1"/>
  <c r="J193" i="1"/>
  <c r="J187" i="1"/>
  <c r="J185" i="1"/>
  <c r="J175" i="1"/>
  <c r="J174" i="1"/>
  <c r="J173" i="1"/>
  <c r="J172" i="1"/>
  <c r="J169" i="1"/>
  <c r="J168" i="1"/>
  <c r="J167" i="1"/>
  <c r="J166" i="1"/>
  <c r="J165" i="1"/>
  <c r="J164" i="1"/>
  <c r="J163" i="1"/>
  <c r="J160" i="1"/>
  <c r="J159" i="1"/>
  <c r="J158" i="1"/>
  <c r="J153" i="1"/>
  <c r="J152" i="1"/>
  <c r="J144" i="1"/>
  <c r="J143" i="1"/>
  <c r="J142" i="1"/>
  <c r="J141" i="1"/>
  <c r="J140" i="1"/>
  <c r="J139" i="1"/>
  <c r="J131" i="1"/>
  <c r="J130" i="1"/>
  <c r="J129" i="1"/>
  <c r="J128" i="1"/>
  <c r="J120" i="1"/>
  <c r="J119" i="1"/>
  <c r="J118" i="1"/>
  <c r="J110" i="1"/>
  <c r="J109" i="1"/>
  <c r="J108" i="1"/>
  <c r="J105" i="1"/>
  <c r="J104" i="1"/>
  <c r="J102" i="1"/>
  <c r="J99" i="1"/>
  <c r="J97" i="1"/>
  <c r="J96" i="1"/>
  <c r="J95" i="1"/>
  <c r="J94" i="1"/>
  <c r="J91" i="1"/>
  <c r="J90" i="1"/>
  <c r="J89" i="1"/>
  <c r="J85" i="1"/>
  <c r="J84" i="1"/>
  <c r="J83" i="1"/>
  <c r="J80" i="1"/>
  <c r="J79" i="1"/>
  <c r="J78" i="1"/>
  <c r="J77" i="1"/>
  <c r="J72" i="1"/>
  <c r="J67" i="1"/>
  <c r="J64" i="1"/>
  <c r="J61" i="1"/>
  <c r="J60" i="1"/>
  <c r="J57" i="1"/>
  <c r="J55" i="1"/>
  <c r="J44" i="1"/>
  <c r="J43" i="1"/>
  <c r="J42" i="1"/>
  <c r="J41" i="1"/>
  <c r="J40" i="1"/>
  <c r="J29" i="1"/>
  <c r="J28" i="1"/>
  <c r="J27" i="1"/>
  <c r="J26" i="1"/>
  <c r="J25" i="1"/>
  <c r="J24" i="1"/>
  <c r="J21" i="1"/>
  <c r="J20" i="1"/>
  <c r="J19" i="1"/>
  <c r="J18" i="1"/>
  <c r="J17" i="1"/>
  <c r="J16" i="1"/>
  <c r="J15" i="1"/>
  <c r="J14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2" i="1"/>
  <c r="H271" i="1"/>
  <c r="H270" i="1"/>
  <c r="H269" i="1"/>
  <c r="H266" i="1"/>
  <c r="H265" i="1"/>
  <c r="H264" i="1"/>
  <c r="H263" i="1"/>
  <c r="H262" i="1"/>
  <c r="H261" i="1"/>
  <c r="H260" i="1"/>
  <c r="H259" i="1"/>
  <c r="H258" i="1"/>
  <c r="H257" i="1"/>
  <c r="H256" i="1"/>
  <c r="H254" i="1"/>
  <c r="H253" i="1"/>
  <c r="H252" i="1"/>
  <c r="H251" i="1"/>
  <c r="H250" i="1"/>
  <c r="H249" i="1"/>
  <c r="H248" i="1"/>
  <c r="H247" i="1"/>
  <c r="H246" i="1"/>
  <c r="H243" i="1"/>
  <c r="H242" i="1"/>
  <c r="H241" i="1"/>
  <c r="H240" i="1"/>
  <c r="H239" i="1"/>
  <c r="H238" i="1"/>
  <c r="H235" i="1"/>
  <c r="H234" i="1"/>
  <c r="H233" i="1"/>
  <c r="H232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1" i="1"/>
  <c r="H210" i="1"/>
  <c r="H209" i="1"/>
  <c r="H208" i="1"/>
  <c r="H205" i="1"/>
  <c r="H204" i="1"/>
  <c r="H203" i="1"/>
  <c r="H202" i="1"/>
  <c r="H201" i="1"/>
  <c r="H200" i="1"/>
  <c r="H197" i="1"/>
  <c r="H196" i="1"/>
  <c r="H195" i="1"/>
  <c r="H194" i="1"/>
  <c r="H193" i="1"/>
  <c r="H190" i="1"/>
  <c r="H189" i="1"/>
  <c r="H188" i="1"/>
  <c r="H187" i="1"/>
  <c r="H186" i="1"/>
  <c r="H185" i="1"/>
  <c r="H184" i="1"/>
  <c r="H181" i="1"/>
  <c r="H180" i="1"/>
  <c r="H179" i="1"/>
  <c r="H176" i="1"/>
  <c r="H175" i="1"/>
  <c r="H174" i="1"/>
  <c r="H173" i="1"/>
  <c r="H172" i="1"/>
  <c r="H169" i="1"/>
  <c r="H168" i="1"/>
  <c r="H167" i="1"/>
  <c r="H166" i="1"/>
  <c r="H165" i="1"/>
  <c r="H164" i="1"/>
  <c r="H163" i="1"/>
  <c r="H160" i="1"/>
  <c r="H159" i="1"/>
  <c r="H158" i="1"/>
  <c r="H157" i="1"/>
  <c r="H156" i="1"/>
  <c r="H153" i="1"/>
  <c r="H152" i="1"/>
  <c r="H149" i="1"/>
  <c r="H148" i="1"/>
  <c r="H144" i="1"/>
  <c r="H143" i="1"/>
  <c r="H142" i="1"/>
  <c r="H141" i="1"/>
  <c r="H140" i="1"/>
  <c r="H139" i="1"/>
  <c r="H136" i="1"/>
  <c r="H135" i="1"/>
  <c r="H132" i="1"/>
  <c r="H131" i="1"/>
  <c r="H130" i="1"/>
  <c r="H129" i="1"/>
  <c r="H128" i="1"/>
  <c r="H125" i="1"/>
  <c r="H124" i="1"/>
  <c r="H123" i="1"/>
  <c r="H120" i="1"/>
  <c r="H119" i="1"/>
  <c r="H118" i="1"/>
  <c r="H115" i="1"/>
  <c r="H114" i="1"/>
  <c r="H113" i="1"/>
  <c r="H110" i="1"/>
  <c r="H109" i="1"/>
  <c r="H108" i="1"/>
  <c r="H105" i="1"/>
  <c r="H104" i="1"/>
  <c r="H103" i="1"/>
  <c r="H102" i="1"/>
  <c r="H99" i="1"/>
  <c r="H98" i="1"/>
  <c r="H97" i="1"/>
  <c r="H96" i="1"/>
  <c r="H95" i="1"/>
  <c r="H94" i="1"/>
  <c r="H91" i="1"/>
  <c r="H90" i="1"/>
  <c r="H89" i="1"/>
  <c r="H85" i="1"/>
  <c r="H84" i="1"/>
  <c r="H83" i="1"/>
  <c r="H80" i="1"/>
  <c r="H79" i="1"/>
  <c r="H78" i="1"/>
  <c r="H77" i="1"/>
  <c r="H74" i="1"/>
  <c r="H73" i="1"/>
  <c r="H72" i="1"/>
  <c r="H71" i="1"/>
  <c r="H68" i="1"/>
  <c r="H67" i="1"/>
  <c r="H64" i="1"/>
  <c r="H63" i="1"/>
  <c r="H62" i="1"/>
  <c r="H61" i="1"/>
  <c r="H60" i="1"/>
  <c r="H57" i="1"/>
  <c r="H56" i="1"/>
  <c r="H55" i="1"/>
  <c r="H52" i="1"/>
  <c r="H51" i="1"/>
  <c r="H50" i="1"/>
  <c r="H49" i="1"/>
  <c r="H48" i="1"/>
  <c r="H47" i="1"/>
  <c r="H44" i="1"/>
  <c r="H43" i="1"/>
  <c r="H42" i="1"/>
  <c r="H41" i="1"/>
  <c r="H40" i="1"/>
  <c r="H37" i="1"/>
  <c r="H36" i="1"/>
  <c r="H35" i="1"/>
  <c r="H34" i="1"/>
  <c r="H33" i="1"/>
  <c r="H32" i="1"/>
  <c r="H29" i="1"/>
  <c r="H28" i="1"/>
  <c r="H27" i="1"/>
  <c r="H26" i="1"/>
  <c r="H25" i="1"/>
  <c r="H24" i="1"/>
  <c r="H21" i="1"/>
  <c r="H20" i="1"/>
  <c r="H19" i="1"/>
  <c r="H18" i="1"/>
  <c r="H17" i="1"/>
  <c r="H16" i="1"/>
  <c r="H15" i="1"/>
  <c r="H14" i="1"/>
  <c r="H11" i="1"/>
  <c r="H10" i="1"/>
  <c r="H9" i="1"/>
  <c r="E37" i="1"/>
  <c r="E36" i="1"/>
  <c r="E35" i="1"/>
  <c r="E34" i="1"/>
  <c r="E33" i="1"/>
  <c r="E32" i="1"/>
  <c r="E29" i="1"/>
  <c r="E28" i="1"/>
  <c r="E27" i="1"/>
  <c r="E26" i="1"/>
  <c r="E25" i="1"/>
  <c r="E24" i="1"/>
  <c r="E21" i="1"/>
  <c r="E20" i="1"/>
  <c r="E19" i="1"/>
  <c r="E18" i="1"/>
  <c r="E17" i="1"/>
  <c r="E16" i="1"/>
  <c r="E14" i="1"/>
  <c r="E11" i="1"/>
  <c r="E10" i="1"/>
  <c r="E9" i="1"/>
  <c r="E8" i="1"/>
  <c r="H8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278" i="1"/>
  <c r="F277" i="1"/>
  <c r="F276" i="1"/>
  <c r="F275" i="1"/>
  <c r="F272" i="1"/>
  <c r="F271" i="1"/>
  <c r="F270" i="1"/>
  <c r="F269" i="1"/>
  <c r="F261" i="1"/>
  <c r="F247" i="1"/>
  <c r="F187" i="1"/>
  <c r="F185" i="1"/>
  <c r="F197" i="1"/>
  <c r="F194" i="1"/>
  <c r="F193" i="1"/>
  <c r="F242" i="1"/>
  <c r="F241" i="1"/>
  <c r="F240" i="1"/>
  <c r="F239" i="1"/>
  <c r="F238" i="1"/>
  <c r="F266" i="1"/>
  <c r="F265" i="1"/>
  <c r="F264" i="1"/>
  <c r="F263" i="1"/>
  <c r="F262" i="1"/>
  <c r="F260" i="1"/>
  <c r="F259" i="1"/>
  <c r="F258" i="1"/>
  <c r="F257" i="1"/>
  <c r="F254" i="1"/>
  <c r="F253" i="1"/>
  <c r="F252" i="1"/>
  <c r="F251" i="1"/>
  <c r="F250" i="1"/>
  <c r="F249" i="1"/>
  <c r="F248" i="1"/>
  <c r="F246" i="1"/>
  <c r="F229" i="1"/>
  <c r="F228" i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F227" i="1"/>
  <c r="F226" i="1"/>
  <c r="F225" i="1"/>
  <c r="E225" i="1"/>
  <c r="F224" i="1"/>
  <c r="F223" i="1"/>
  <c r="F222" i="1"/>
  <c r="F221" i="1"/>
  <c r="F220" i="1"/>
  <c r="E220" i="1"/>
  <c r="F219" i="1"/>
  <c r="F218" i="1"/>
  <c r="F217" i="1"/>
  <c r="F216" i="1"/>
  <c r="F211" i="1"/>
  <c r="E211" i="1"/>
  <c r="F210" i="1"/>
  <c r="E210" i="1"/>
  <c r="F209" i="1"/>
  <c r="E209" i="1"/>
  <c r="E208" i="1"/>
  <c r="F190" i="1"/>
  <c r="F188" i="1"/>
  <c r="F186" i="1"/>
  <c r="F181" i="1"/>
  <c r="F180" i="1"/>
  <c r="F176" i="1"/>
  <c r="F175" i="1"/>
  <c r="F174" i="1"/>
  <c r="F173" i="1"/>
  <c r="F169" i="1"/>
  <c r="F168" i="1"/>
  <c r="F167" i="1"/>
  <c r="F166" i="1"/>
  <c r="F165" i="1"/>
  <c r="F164" i="1"/>
  <c r="F163" i="1"/>
  <c r="F160" i="1"/>
  <c r="F159" i="1"/>
  <c r="F158" i="1"/>
  <c r="F153" i="1"/>
  <c r="F152" i="1"/>
  <c r="F149" i="1"/>
  <c r="F148" i="1"/>
  <c r="F144" i="1"/>
  <c r="F143" i="1"/>
  <c r="F142" i="1"/>
  <c r="F141" i="1"/>
  <c r="F140" i="1"/>
  <c r="F139" i="1"/>
  <c r="F136" i="1"/>
  <c r="F135" i="1"/>
  <c r="F132" i="1"/>
  <c r="F131" i="1"/>
  <c r="F129" i="1"/>
  <c r="F128" i="1"/>
  <c r="A14" i="1"/>
  <c r="A15" i="1" s="1"/>
  <c r="A16" i="1" s="1"/>
  <c r="A17" i="1" s="1"/>
  <c r="A18" i="1" s="1"/>
  <c r="A19" i="1" s="1"/>
  <c r="A20" i="1" s="1"/>
  <c r="A21" i="1" s="1"/>
  <c r="F15" i="1"/>
  <c r="F120" i="1"/>
  <c r="F119" i="1"/>
  <c r="F118" i="1"/>
  <c r="F110" i="1"/>
  <c r="F109" i="1"/>
  <c r="F108" i="1"/>
  <c r="F103" i="1"/>
  <c r="F104" i="1"/>
  <c r="F102" i="1"/>
  <c r="F98" i="1"/>
  <c r="F99" i="1"/>
  <c r="F97" i="1"/>
  <c r="F96" i="1"/>
  <c r="F95" i="1"/>
  <c r="F94" i="1"/>
  <c r="F91" i="1"/>
  <c r="F90" i="1"/>
  <c r="F89" i="1"/>
  <c r="F78" i="1"/>
  <c r="F77" i="1"/>
  <c r="F72" i="1"/>
  <c r="F67" i="1"/>
  <c r="F61" i="1"/>
  <c r="F60" i="1"/>
  <c r="F64" i="1"/>
  <c r="F56" i="1"/>
  <c r="F57" i="1"/>
  <c r="F55" i="1"/>
  <c r="F33" i="1"/>
  <c r="F37" i="1"/>
  <c r="F36" i="1"/>
  <c r="F34" i="1"/>
  <c r="F32" i="1"/>
  <c r="F35" i="1"/>
  <c r="F29" i="1"/>
  <c r="F28" i="1"/>
  <c r="F27" i="1"/>
  <c r="F26" i="1"/>
  <c r="F25" i="1"/>
  <c r="F24" i="1"/>
  <c r="F105" i="1"/>
  <c r="F14" i="1"/>
  <c r="F16" i="1"/>
  <c r="F17" i="1"/>
  <c r="F18" i="1"/>
  <c r="F19" i="1"/>
  <c r="F20" i="1"/>
  <c r="F21" i="1"/>
  <c r="F79" i="1"/>
  <c r="F40" i="1"/>
  <c r="F41" i="1"/>
  <c r="F42" i="1"/>
  <c r="F43" i="1"/>
  <c r="F44" i="1"/>
  <c r="F80" i="1"/>
  <c r="F83" i="1"/>
  <c r="F85" i="1"/>
  <c r="D353" i="1" l="1"/>
  <c r="E242" i="1"/>
  <c r="A232" i="1"/>
  <c r="A233" i="1" s="1"/>
  <c r="A234" i="1" s="1"/>
  <c r="A235" i="1" s="1"/>
  <c r="E229" i="1"/>
  <c r="E228" i="1"/>
  <c r="E218" i="1"/>
  <c r="E223" i="1"/>
  <c r="E216" i="1"/>
  <c r="E217" i="1"/>
  <c r="E221" i="1"/>
  <c r="E226" i="1"/>
  <c r="E219" i="1"/>
  <c r="E224" i="1"/>
  <c r="E222" i="1"/>
  <c r="E227" i="1"/>
  <c r="A24" i="1"/>
  <c r="A25" i="1" s="1"/>
  <c r="A26" i="1" s="1"/>
  <c r="E15" i="1"/>
  <c r="I3" i="1" l="1"/>
  <c r="A238" i="1"/>
  <c r="A239" i="1" s="1"/>
  <c r="A240" i="1" s="1"/>
  <c r="A241" i="1" s="1"/>
  <c r="A242" i="1" s="1"/>
  <c r="A243" i="1" s="1"/>
  <c r="A246" i="1" s="1"/>
  <c r="A247" i="1" s="1"/>
  <c r="A248" i="1" s="1"/>
  <c r="A249" i="1" s="1"/>
  <c r="A250" i="1" s="1"/>
  <c r="A251" i="1" s="1"/>
  <c r="A252" i="1" s="1"/>
  <c r="A253" i="1" s="1"/>
  <c r="A254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9" i="1" s="1"/>
  <c r="A270" i="1" s="1"/>
  <c r="A271" i="1" s="1"/>
  <c r="A272" i="1" s="1"/>
  <c r="A27" i="1"/>
  <c r="A28" i="1" s="1"/>
  <c r="A29" i="1" s="1"/>
  <c r="A32" i="1" s="1"/>
  <c r="A33" i="1" s="1"/>
  <c r="A34" i="1" s="1"/>
  <c r="A35" i="1" s="1"/>
  <c r="A36" i="1" s="1"/>
  <c r="A37" i="1" s="1"/>
  <c r="A40" i="1" s="1"/>
  <c r="A41" i="1" s="1"/>
  <c r="A42" i="1" s="1"/>
  <c r="A43" i="1" s="1"/>
  <c r="A44" i="1" s="1"/>
  <c r="A275" i="1" l="1"/>
  <c r="A276" i="1" s="1"/>
  <c r="A277" i="1" s="1"/>
  <c r="A278" i="1" s="1"/>
  <c r="A279" i="1" s="1"/>
  <c r="A47" i="1"/>
  <c r="A48" i="1" s="1"/>
  <c r="A49" i="1" s="1"/>
  <c r="A50" i="1" s="1"/>
  <c r="A51" i="1" s="1"/>
  <c r="A52" i="1" s="1"/>
  <c r="A55" i="1" s="1"/>
  <c r="A56" i="1" s="1"/>
  <c r="A57" i="1" s="1"/>
  <c r="A60" i="1" s="1"/>
  <c r="A61" i="1" s="1"/>
  <c r="A62" i="1" s="1"/>
  <c r="A63" i="1" s="1"/>
  <c r="A64" i="1" s="1"/>
  <c r="A67" i="1" s="1"/>
  <c r="A68" i="1" s="1"/>
  <c r="A71" i="1" s="1"/>
  <c r="A72" i="1" s="1"/>
  <c r="A73" i="1" s="1"/>
  <c r="A74" i="1" s="1"/>
  <c r="A77" i="1" s="1"/>
  <c r="A78" i="1" s="1"/>
  <c r="A79" i="1" s="1"/>
  <c r="A80" i="1" s="1"/>
  <c r="A83" i="1" s="1"/>
  <c r="A84" i="1" s="1"/>
  <c r="A85" i="1" s="1"/>
  <c r="A89" i="1" s="1"/>
  <c r="A90" i="1" s="1"/>
  <c r="A91" i="1" s="1"/>
  <c r="A94" i="1" s="1"/>
  <c r="A95" i="1" s="1"/>
  <c r="A96" i="1" s="1"/>
  <c r="A97" i="1" s="1"/>
  <c r="A98" i="1" s="1"/>
  <c r="A99" i="1" s="1"/>
  <c r="A102" i="1" s="1"/>
  <c r="A103" i="1" s="1"/>
  <c r="A104" i="1" s="1"/>
  <c r="A105" i="1" s="1"/>
  <c r="A108" i="1" s="1"/>
  <c r="A109" i="1" s="1"/>
  <c r="A110" i="1" s="1"/>
  <c r="A113" i="1" s="1"/>
  <c r="A114" i="1" s="1"/>
  <c r="A115" i="1" s="1"/>
  <c r="A118" i="1" s="1"/>
  <c r="A119" i="1" s="1"/>
  <c r="A120" i="1" s="1"/>
  <c r="A123" i="1" s="1"/>
  <c r="A124" i="1" s="1"/>
  <c r="A125" i="1" s="1"/>
  <c r="A128" i="1" s="1"/>
  <c r="A129" i="1" s="1"/>
  <c r="A130" i="1" s="1"/>
  <c r="A131" i="1" s="1"/>
  <c r="A132" i="1" s="1"/>
  <c r="A135" i="1" s="1"/>
  <c r="A136" i="1" s="1"/>
  <c r="A139" i="1" s="1"/>
  <c r="A140" i="1" s="1"/>
  <c r="A141" i="1" s="1"/>
  <c r="A142" i="1" s="1"/>
  <c r="A143" i="1" s="1"/>
  <c r="A144" i="1" s="1"/>
  <c r="A148" i="1" s="1"/>
  <c r="A149" i="1" s="1"/>
  <c r="A152" i="1" s="1"/>
  <c r="A153" i="1" s="1"/>
  <c r="A156" i="1" s="1"/>
  <c r="A157" i="1" s="1"/>
  <c r="A158" i="1" s="1"/>
  <c r="A159" i="1" s="1"/>
  <c r="A160" i="1" s="1"/>
  <c r="A163" i="1" s="1"/>
  <c r="A164" i="1" s="1"/>
  <c r="A165" i="1" s="1"/>
  <c r="A166" i="1" s="1"/>
  <c r="A167" i="1" s="1"/>
  <c r="A168" i="1" s="1"/>
  <c r="A169" i="1" s="1"/>
  <c r="A172" i="1" s="1"/>
  <c r="A173" i="1" s="1"/>
  <c r="A174" i="1" s="1"/>
  <c r="A175" i="1" s="1"/>
  <c r="A176" i="1" s="1"/>
  <c r="A179" i="1" s="1"/>
  <c r="A180" i="1" s="1"/>
  <c r="A181" i="1" s="1"/>
  <c r="A184" i="1" s="1"/>
  <c r="A185" i="1" s="1"/>
  <c r="A186" i="1" s="1"/>
  <c r="A187" i="1" s="1"/>
  <c r="A188" i="1" s="1"/>
  <c r="A189" i="1" s="1"/>
  <c r="A190" i="1" s="1"/>
  <c r="A280" i="1" l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193" i="1"/>
  <c r="A194" i="1" s="1"/>
  <c r="A195" i="1" s="1"/>
  <c r="A196" i="1" s="1"/>
  <c r="A197" i="1" s="1"/>
  <c r="A200" i="1" s="1"/>
  <c r="A201" i="1" s="1"/>
  <c r="A202" i="1" s="1"/>
  <c r="A203" i="1" s="1"/>
  <c r="A204" i="1" s="1"/>
  <c r="A205" i="1" s="1"/>
  <c r="A208" i="1" s="1"/>
  <c r="A209" i="1" s="1"/>
  <c r="A210" i="1" s="1"/>
  <c r="A211" i="1" s="1"/>
  <c r="A216" i="1" s="1"/>
  <c r="A324" i="1" l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</calcChain>
</file>

<file path=xl/sharedStrings.xml><?xml version="1.0" encoding="utf-8"?>
<sst xmlns="http://schemas.openxmlformats.org/spreadsheetml/2006/main" count="1227" uniqueCount="462">
  <si>
    <t>LP</t>
  </si>
  <si>
    <t>EAN</t>
  </si>
  <si>
    <t>TYTUŁ</t>
  </si>
  <si>
    <t>VAT</t>
  </si>
  <si>
    <t>Kod towaru</t>
  </si>
  <si>
    <t>PUBLICAT</t>
  </si>
  <si>
    <t>12 ważnych praw. Polscy autorzy o prawach dla dzieci</t>
  </si>
  <si>
    <t>Ja, Cezar, i Ekipa z Kapitolu</t>
  </si>
  <si>
    <t>Ja, Odyn, i Dzicy Wikingowie</t>
  </si>
  <si>
    <t>Ja, Zeus, i Ekipa z Olimpu</t>
  </si>
  <si>
    <t>Niedźwiadki Agatki</t>
  </si>
  <si>
    <t>Pieniądze dla początkujących</t>
  </si>
  <si>
    <t>Pierwiastki, czyli z czego zbudowany jest wszechświat</t>
  </si>
  <si>
    <t>Pierwsza pomoc</t>
  </si>
  <si>
    <t>Przestańcie się kłócić! Porozumienie bez Przemocy objaśnione dzieciom</t>
  </si>
  <si>
    <t>Reksio poznaje emocje</t>
  </si>
  <si>
    <t>Samoloty! (i wszystko co lata)</t>
  </si>
  <si>
    <t>Stefcia chce do mamy</t>
  </si>
  <si>
    <t>Wielka księga wierszy Tuwim</t>
  </si>
  <si>
    <t>Wszystko o emocjach</t>
  </si>
  <si>
    <t>Dinozaury i inne prehistoryczne zwierzęta. Kości gigantów</t>
  </si>
  <si>
    <t>Dziadkowie Piranie i inne historie</t>
  </si>
  <si>
    <t>Dziękuję! Jak dobrze mieć sąsiadów. Książka o wspólnocie i o tym, żeby nie oceniać po pozorach</t>
  </si>
  <si>
    <t>Fergal ma kłopot!</t>
  </si>
  <si>
    <t>Fergal się złości!</t>
  </si>
  <si>
    <t>Kochamy DINOZAURY!</t>
  </si>
  <si>
    <t>Koniec z zazdrością! Porozumienie bez Przemocy objaśnione dzieciom</t>
  </si>
  <si>
    <t>Love Monster i coś strasznego</t>
  </si>
  <si>
    <t>Love Monster. Potworek szuka miłości</t>
  </si>
  <si>
    <t>Nauka na co dzień: Maszyny</t>
  </si>
  <si>
    <t>Poradnik małego skauta</t>
  </si>
  <si>
    <t>Robale. Owady i inne małe stworzenia. Zobacz i rozpoznaj</t>
  </si>
  <si>
    <t>Samochody! (i inne pojazdy)</t>
  </si>
  <si>
    <t>Szym Pansik ma dobry humor</t>
  </si>
  <si>
    <t>Szym Pansik ma zły humor</t>
  </si>
  <si>
    <t>Szym Pansik nie śpi całą noc</t>
  </si>
  <si>
    <t>Szym Pansik Zostawcie mnie</t>
  </si>
  <si>
    <t>Szym Pansik. Całusy? Ohyda!</t>
  </si>
  <si>
    <t>Szym Pansik. O, nie! Święta!</t>
  </si>
  <si>
    <t>To my, dzieci świata</t>
  </si>
  <si>
    <t>To są domy świata</t>
  </si>
  <si>
    <t>To są smaki świata</t>
  </si>
  <si>
    <t>Traktorek jest dzielny</t>
  </si>
  <si>
    <t>Traktorek jest zazdrosny</t>
  </si>
  <si>
    <t>Traktorek marzy o lataniu</t>
  </si>
  <si>
    <t xml:space="preserve">Traktorek pomaga jelonkowi                          </t>
  </si>
  <si>
    <t>Znajdź, napraw, jedź! Samochody i inne pojazdy</t>
  </si>
  <si>
    <t>Zwierzaki wierszaki</t>
  </si>
  <si>
    <t>365 bajek na dobranoc. Księżyc opowiada... historyjki na dobry sen</t>
  </si>
  <si>
    <t>365 bajek na każdy dzień. Słoneczko opowiada... historyjki na dzień dobry</t>
  </si>
  <si>
    <t>Cała Polska czyta dzieciom. Jak Ancymonek został Ancymonem</t>
  </si>
  <si>
    <t>Księga najpiękniejszych bajek</t>
  </si>
  <si>
    <t>Za górami, za lasami. 100 najpiękniejszych bajek świata</t>
  </si>
  <si>
    <t>12 dziecięcych wyzwań. Polscy autorzy o tym, jak poradzić sobie z problemami</t>
  </si>
  <si>
    <t>12 sposobów na szczęście. Polscy autorzy o tym, jak cieszyć się każdym dniem</t>
  </si>
  <si>
    <t>12 ważnych emocji. Polscy autorzy o tym, co czujemy</t>
  </si>
  <si>
    <t>Ala i emocje</t>
  </si>
  <si>
    <t>Ala ma kota. Naturalna nauka czytania</t>
  </si>
  <si>
    <t>Biznes dla początkujących</t>
  </si>
  <si>
    <t>Byki Weroniki. Historyjki ortograficzne</t>
  </si>
  <si>
    <t>Cała Polska czyta dzieciom. Mała wiedźma Bazylka</t>
  </si>
  <si>
    <t>Cała Polska czyta dzieciom. O smoczku, piekarzu i kosmicie bez stażu</t>
  </si>
  <si>
    <t>Czytanki sylabowe z obrazkami</t>
  </si>
  <si>
    <t>Ćwiczenia dla rączek. Elementarz motoryki małej</t>
  </si>
  <si>
    <t>Dlaczego... odpowiedzi na pozornie łatwe pytania</t>
  </si>
  <si>
    <t>Elementarz w podskokach</t>
  </si>
  <si>
    <t>Encyklopedia dla dzieci</t>
  </si>
  <si>
    <t>Filozofia dla początkujących</t>
  </si>
  <si>
    <t>Klimatomierz</t>
  </si>
  <si>
    <t>Króliki Ludwiki. Opowiastki gramatyczne Krzyżanek</t>
  </si>
  <si>
    <t>Mały astronom. Przewodnik po kosmosie</t>
  </si>
  <si>
    <t>Moja pierwsza encyklopedia świata</t>
  </si>
  <si>
    <t>Moja pierwsza encyklopedia zwierząt</t>
  </si>
  <si>
    <t>Pieski Tereski. Czytam sylabami</t>
  </si>
  <si>
    <t>Popatrz w górę. Odkrywaj niebo za dnia i w nocy</t>
  </si>
  <si>
    <t>Pora do przedszkola</t>
  </si>
  <si>
    <t>Psychologia dla początkujących</t>
  </si>
  <si>
    <t>Szachy. Nauka gry dla dzieci</t>
  </si>
  <si>
    <t>Świnki Sabinki. Praktyczna matematyka</t>
  </si>
  <si>
    <t>Umiem to zrobić</t>
  </si>
  <si>
    <t xml:space="preserve">Wielka encyklopedia zwierząt     </t>
  </si>
  <si>
    <t>Wszystko o przyjaźni</t>
  </si>
  <si>
    <t>Wszystko o rodzinach</t>
  </si>
  <si>
    <t>Wszystko o różnorodności</t>
  </si>
  <si>
    <t>Wszystko o Twoim ciele</t>
  </si>
  <si>
    <t>Martynka w domu. Zbiór opowiadań</t>
  </si>
  <si>
    <t>Martynka w krainie baśni. Zbiór opowiadań</t>
  </si>
  <si>
    <t xml:space="preserve">Martynka. Księga przygód      </t>
  </si>
  <si>
    <t>Martynka. Najlepsze przygody. Zbiór opowiadań</t>
  </si>
  <si>
    <t>Martynka. Wielka księga przygód. Zbiór opowiadań</t>
  </si>
  <si>
    <t>Wszystko o tym, jak się nie bać i nie martwić</t>
  </si>
  <si>
    <t>Reksio zabawa w chowanego</t>
  </si>
  <si>
    <t>Reksio. Czytanki z obrazkami</t>
  </si>
  <si>
    <t>Reksio. Dobranocka wszech czasów</t>
  </si>
  <si>
    <t>Reksio. Leśna przygoda</t>
  </si>
  <si>
    <t>Reksio. Przyjaciel zwierząt</t>
  </si>
  <si>
    <t>Reksio. Wesołe podwórko</t>
  </si>
  <si>
    <t>Akwarele dla każdego</t>
  </si>
  <si>
    <t>Koty kawaii</t>
  </si>
  <si>
    <t>Rysowanie w 10 krokach. Kawaii</t>
  </si>
  <si>
    <t>Rysowanie w 10 krokach. Konie i kucyki</t>
  </si>
  <si>
    <t>Rysowanie w 10 krokach. Koty</t>
  </si>
  <si>
    <t>Rysowanie w 10 krokach. Manga</t>
  </si>
  <si>
    <t>Rysuj jak artysta. 100 realistycznych wizerunków zwierząt</t>
  </si>
  <si>
    <t>Rysuj jak artysta. 100 stworzeń i postaci ze świata fantasy</t>
  </si>
  <si>
    <t>Sztuka rysowania</t>
  </si>
  <si>
    <t>Sztuka rysowania dla dzieci</t>
  </si>
  <si>
    <t>Sztuka rysowania dla dzieci. Ćwiczenia</t>
  </si>
  <si>
    <t>Sztuka rysowania w kolorze</t>
  </si>
  <si>
    <t>Sztuka rysowania. 15-minutowe ćwiczenia. Architektura</t>
  </si>
  <si>
    <t>Sztuka rysowania. Fantasy</t>
  </si>
  <si>
    <t>Sztuka rysowania. Ludzie</t>
  </si>
  <si>
    <t>Sztuka rysowania. Natura</t>
  </si>
  <si>
    <t>Sztuka rysowania. Pastele</t>
  </si>
  <si>
    <t>Sztuka rysowania. Zwierzęta</t>
  </si>
  <si>
    <t>Sztuka rysowania.15-minutowe ćwiczenia. Twarze</t>
  </si>
  <si>
    <t>Stefcia wybiera buty</t>
  </si>
  <si>
    <t>Stefcia zaprasza koleżankę</t>
  </si>
  <si>
    <t>Bóg. To, o czym dorośli Ci nie mówią</t>
  </si>
  <si>
    <t>Dojrzewanie. To, o czym dorośli Ci nie mówią</t>
  </si>
  <si>
    <t>Ekonomia. To, o czym dorośli Ci nie mówią</t>
  </si>
  <si>
    <t>Emocje. To, o czym dorośli Ci nie mówią</t>
  </si>
  <si>
    <t>Klimat. To, o czym dorośli Ci nie mówią</t>
  </si>
  <si>
    <t>Kosmos. To, o czym dorośli Ci nie mówią</t>
  </si>
  <si>
    <t>Kotki Dorotki. Czytam uważnie</t>
  </si>
  <si>
    <t>Mózg. To, o czym dorośli Ci nie mówią</t>
  </si>
  <si>
    <t>Polityka. To, o czym dorośli Ci nie mówią</t>
  </si>
  <si>
    <t>Sex. To, o czym dorośli Ci nie mówią</t>
  </si>
  <si>
    <t>Sztuczna inteligencja. To, o czym dorośli Ci nie mówią</t>
  </si>
  <si>
    <t>Śmieci. To, o czym dorośli Ci nie mówią</t>
  </si>
  <si>
    <t>Świat do remontu. Cele zrównoważonego rozwoju ONZ. To, o czym dorośli Ci nie mówią</t>
  </si>
  <si>
    <t>Cat in the book. Elementarz języka angielskiego (książka z CD)</t>
  </si>
  <si>
    <t>Emomisie</t>
  </si>
  <si>
    <t>Kicek i Kicka. Zabawa w chowanego. Czytanki sylabowe z obrazkami</t>
  </si>
  <si>
    <t>Klasyka dla smyka. Julian Tuwim i  Jan Brzechwa</t>
  </si>
  <si>
    <t xml:space="preserve">Liczyświnki     </t>
  </si>
  <si>
    <t xml:space="preserve">Literkowce        </t>
  </si>
  <si>
    <t>Lubię litery! Książka do nauki alfabetu</t>
  </si>
  <si>
    <t>Moja wielka wyszukiwanka Pojazdy</t>
  </si>
  <si>
    <t>Moja wielka wyszukiwanka Przedszkole</t>
  </si>
  <si>
    <t>Moja wielka wyszukiwanka Zwierzęta świata</t>
  </si>
  <si>
    <t>Moja wielka wyszukiwanka. Dzień i noc</t>
  </si>
  <si>
    <t>Moja wielka wyszukiwanka. Na placu budowy</t>
  </si>
  <si>
    <t>Od...do. Co i jak rośnie w ogródku</t>
  </si>
  <si>
    <t>Od...do. Co i jak rośnie w świecie przyrody</t>
  </si>
  <si>
    <t>Od...do. Co i jak zmienia się w przyrodzie</t>
  </si>
  <si>
    <t>Od...do. Jak powstają różne rzeczy</t>
  </si>
  <si>
    <t>Od...do. Jak rosną zwierzęta blisko nas</t>
  </si>
  <si>
    <t xml:space="preserve">Profesjonaliski </t>
  </si>
  <si>
    <t>Przytulanki</t>
  </si>
  <si>
    <t>Wielka nauka dla małych dzieci. Jak opiekować się ziemią</t>
  </si>
  <si>
    <t>Wielka nauka dla małych dzieci. Kosmos. Książka z okienkami</t>
  </si>
  <si>
    <t>Wielka nauka dla małych dzieci. Pojazdy. Ksiażka z okienkami</t>
  </si>
  <si>
    <t>Wiem i ja. Kłap! Co w zębach zgrzyta</t>
  </si>
  <si>
    <t>Wiem i ja. Mniam! Co w brzuchu burczy</t>
  </si>
  <si>
    <t>Wiem i ja. Mózg! Co w głowie siedzi. Wiem i ja</t>
  </si>
  <si>
    <t>Wyliczanki</t>
  </si>
  <si>
    <t>Zabawianki</t>
  </si>
  <si>
    <t>Zasypianki</t>
  </si>
  <si>
    <t>Data zamówienia:</t>
  </si>
  <si>
    <t>ADRES DOSTAWY:</t>
  </si>
  <si>
    <t>DANE DO FAKTURY:</t>
  </si>
  <si>
    <t>FORMULARZ ZAMÓWIENIA</t>
  </si>
  <si>
    <t>Cena detaliczna:</t>
  </si>
  <si>
    <t>Cena zakupu z rabatem</t>
  </si>
  <si>
    <t>ILOŚĆ ZAMÓWIENIA</t>
  </si>
  <si>
    <t>Wartość zamówienia z rabatem</t>
  </si>
  <si>
    <t>OFERTA DLA PRZEDSZKOLI I SZKÓŁ KL. 1-3</t>
  </si>
  <si>
    <t>002241</t>
  </si>
  <si>
    <t>001993</t>
  </si>
  <si>
    <t>002110</t>
  </si>
  <si>
    <t>002169</t>
  </si>
  <si>
    <t>002230</t>
  </si>
  <si>
    <t>000733</t>
  </si>
  <si>
    <t>001315</t>
  </si>
  <si>
    <t>000811</t>
  </si>
  <si>
    <t>001533</t>
  </si>
  <si>
    <t>000774</t>
  </si>
  <si>
    <t>001418</t>
  </si>
  <si>
    <t>000766</t>
  </si>
  <si>
    <t>Wydawnictwo</t>
  </si>
  <si>
    <t>Pierwsze litery, pierwsze czytanki - KATALOG PUBLICAT S.A.: KSIĄŻKI DLA PRZEDSZKOLAKÓW str. 4</t>
  </si>
  <si>
    <t>Umiem to zrobić! - KATALOG PUBLICAT S.A.: KSIĄŻKI DLA PRZEDSZKOLAKÓW str. 3</t>
  </si>
  <si>
    <t>Język angielski - KATALOG PUBLICAT S.A.: KSIĄŻKI DLA PRZEDSZKOLAKÓW str. 5</t>
  </si>
  <si>
    <t>Storybook. Historyjki po angielsku i po polsku</t>
  </si>
  <si>
    <t>U lekarza. Opieka medyczna i procedury wyjaśnione dzieciom i rodzicom</t>
  </si>
  <si>
    <t>Ruch to zdrowie - KATALOG PUBLICAT S.A.: KSIĄŻKI DLA PRZEDSZKOLAKÓW str. 5</t>
  </si>
  <si>
    <t>Bose stópki. Joga dla dzieci. Ćwiczenia z jogi, oddychania i odpoczynku</t>
  </si>
  <si>
    <t>Pobujaj owieczkę. Książka aktywizująca</t>
  </si>
  <si>
    <t>Potrząśnij jabłonką</t>
  </si>
  <si>
    <t>Świat wokół dziecka - KATALOG PUBLICAT S.A.: KSIĄŻKI DLA PRZEDSZKOLAKÓW str. 6</t>
  </si>
  <si>
    <t>Książki z okienkami - KATALOG PUBLICAT S.A.: KSIĄŻKI DLA PRZEDSZKOLAKÓW str. 7</t>
  </si>
  <si>
    <t>Wiem i ja - KATALOG PUBLICAT S.A.: KSIĄŻKI DLA PRZEDSZKOLAKÓW str. 7</t>
  </si>
  <si>
    <t>Moje wielkie wyszukiwanki - KATALOG PUBLICAT S.A.: KSIĄŻKI DLA PRZEDSZKOLAKÓW str. 9</t>
  </si>
  <si>
    <t>Moja wielka wyszukiwanka. Mój dzień</t>
  </si>
  <si>
    <t>Poznajemy zwierzęta - KATALOG PUBLICAT S.A.: KSIĄŻKI DLA PRZEDSZKOLAKÓW str. 10</t>
  </si>
  <si>
    <t>ZWIERZAKI są super!</t>
  </si>
  <si>
    <t>Nie tylko ROBALE</t>
  </si>
  <si>
    <t>Kochamy wodne STWORY!</t>
  </si>
  <si>
    <t>Moje pierwsze encyklopedie - KATALOG PUBLICAT S.A.: KSIĄŻKI DLA PRZEDSZKOLAKÓW str. 10</t>
  </si>
  <si>
    <t>Pojazdy - KATALOG PUBLICAT S.A.: KSIĄŻKI DLA PRZEDSZKOLAKÓW str. 11</t>
  </si>
  <si>
    <t>002240</t>
  </si>
  <si>
    <t>000847</t>
  </si>
  <si>
    <t>000895</t>
  </si>
  <si>
    <t>To my! - KATALOG PUBLICAT S.A.: KSIĄŻKI DLA PRZEDSZKOLAKÓW str. 11</t>
  </si>
  <si>
    <t>Porozumienie bez Przemocy - KATALOG PUBLICAT S.A.: KSIĄŻKI DLA PRZEDSZKOLAKÓW str. 12</t>
  </si>
  <si>
    <t>002238</t>
  </si>
  <si>
    <t>001208</t>
  </si>
  <si>
    <t xml:space="preserve">To niesprawiedliwe!            </t>
  </si>
  <si>
    <t>Stefcia się złości</t>
  </si>
  <si>
    <t>Reksio. Wielka księga przygód</t>
  </si>
  <si>
    <t>Traktorek - KATALOG PUBLICAT S.A.: KSIĄŻKI DLA PRZEDSZKOLAKÓW str. 16</t>
  </si>
  <si>
    <t>Traktorek jest chory</t>
  </si>
  <si>
    <t>Elmer - KATALOG PUBLICAT S.A.: KSIĄŻKI DLA PRZEDSZKOLAKÓW str. 16</t>
  </si>
  <si>
    <t xml:space="preserve">Elmer. Słoniowe opowieści  </t>
  </si>
  <si>
    <t>Elmer. Słoń w kratkę</t>
  </si>
  <si>
    <t>Szym Pansik - KATALOG PUBLICAT S.A.: KSIĄŻKI DLA PRZEDSZKOLAKÓW str. 17</t>
  </si>
  <si>
    <t>Love Monster - KATALOG PUBLICAT S.A.: KSIĄŻKI DLA PRZEDSZKOLAKÓW str. 17</t>
  </si>
  <si>
    <t>Fergal - KATALOG PUBLICAT S.A.: KSIĄŻKI DLA PRZEDSZKOLAKÓW str. 17</t>
  </si>
  <si>
    <t>Baśnie, bajki, opowieści - KATALOG PUBLICAT S.A.: KSIĄŻKI DLA PRZEDSZKOLAKÓW str. 18</t>
  </si>
  <si>
    <t>000724</t>
  </si>
  <si>
    <t>000727</t>
  </si>
  <si>
    <t>50 najpiękniejszych opowieści. Klasyka dla dzieci</t>
  </si>
  <si>
    <t>Ulubione wierszyki - KATALOG PUBLICAT S.A.: KSIĄŻKI DLA PRZEDSZKOLAKÓW str. 19</t>
  </si>
  <si>
    <t>OFERTA DLA SZKÓŁ KL. 4-8</t>
  </si>
  <si>
    <t>Zaczynam czytać - KATALOG PUBLICAT S.A.: KSIĄŻKI DLA UCZNIÓW str. 3</t>
  </si>
  <si>
    <t>Pierwsze czytanki. Olek i psotny kotek (poziom 1)</t>
  </si>
  <si>
    <t>Pierwsze czytanki. Matylda i czekoladowe ciastko (poziom 3)</t>
  </si>
  <si>
    <t>Pierwsze Czytanki. Michałek i pudełko niespodzianek (poziom 3)</t>
  </si>
  <si>
    <t>Pierwsze Czytanki. Helenka i różowe okulary (poziom 3)</t>
  </si>
  <si>
    <t>000884</t>
  </si>
  <si>
    <t>000930</t>
  </si>
  <si>
    <t>001532</t>
  </si>
  <si>
    <t>000889</t>
  </si>
  <si>
    <t>002167</t>
  </si>
  <si>
    <t>000890</t>
  </si>
  <si>
    <t>Do poczytania - KATALOG PUBLICAT S.A.: KSIĄŻKI DLA UCZNIÓW str. 5</t>
  </si>
  <si>
    <t>Najwyższa na świecie wieża z książek</t>
  </si>
  <si>
    <t>Dzielni-samodzielni - KATALOG PUBLICAT S.A.: KSIĄŻKI DLA UCZNIÓW str. 6</t>
  </si>
  <si>
    <t>Warto wiedzieć więcej! - KATALOG PUBLICAT S.A.: KSIĄŻKI DLA UCZNIÓW str. 6</t>
  </si>
  <si>
    <t>Porozmawiajmy o tym... - KATALOG PUBLICAT S.A.: KSIĄŻKI DLA UCZNIÓW str. 7</t>
  </si>
  <si>
    <t>Cała Polska czyta dzieciom - KATALOG PUBLICAT S.A.: KSIĄŻKI DLA UCZNIÓW str. 8</t>
  </si>
  <si>
    <t>Cała Polska czyta dzieciom. Niezwykłe przygody</t>
  </si>
  <si>
    <t>12 ważnych opowieści. Polscy autorzy o wartościach</t>
  </si>
  <si>
    <t>12 supermocy. Polscy autorzy o tym, jak budować poczucie własnej wartości</t>
  </si>
  <si>
    <t>002224</t>
  </si>
  <si>
    <t>001309</t>
  </si>
  <si>
    <t>001310</t>
  </si>
  <si>
    <t>000723</t>
  </si>
  <si>
    <t>001527</t>
  </si>
  <si>
    <t>002244</t>
  </si>
  <si>
    <t>Konstytucja, czyli mrówcza robota. O tym dorośli też Ci nie mówią</t>
  </si>
  <si>
    <t>Wirus i inne ustrojstwa</t>
  </si>
  <si>
    <t>Zrób to samodzielnie! - KATALOG PUBLICAT S.A.: KSIĄŻKI DLA UCZNIÓW str. 13</t>
  </si>
  <si>
    <t>Sztuka rysowania. 15-minutowe ćwiczenia. Manga</t>
  </si>
  <si>
    <t>Dla początkujących - KATALOG PUBLICAT S.A.: KSIĄŻKI DLA UCZNIÓW str. 9</t>
  </si>
  <si>
    <t>002231</t>
  </si>
  <si>
    <t>002161</t>
  </si>
  <si>
    <t>000765</t>
  </si>
  <si>
    <t>000822</t>
  </si>
  <si>
    <t>Chcę wiedzieć więcej! - KATALOG PUBLICAT S.A.: KSIĄŻKI DLA UCZNIÓW str. 9</t>
  </si>
  <si>
    <t>000760</t>
  </si>
  <si>
    <t>001977</t>
  </si>
  <si>
    <t>000741</t>
  </si>
  <si>
    <t>000780</t>
  </si>
  <si>
    <t>Dzieci gotują. Proste roślinne przepisy z czterech stron świata</t>
  </si>
  <si>
    <t>Mały inżynier. Ponad 80 eksperymentów dla ciekawych świata dziewczyn i chłopaków</t>
  </si>
  <si>
    <t>002210</t>
  </si>
  <si>
    <t>Smakologia</t>
  </si>
  <si>
    <t>Donut Buddies. Szydełkowe maskotki amigurumi. 50 łatwych wzorów</t>
  </si>
  <si>
    <t>Szydełkowe kawaii. 40 supersłodkich maskotek amigurumi.</t>
  </si>
  <si>
    <t>Szydełko dla początkujących. 20 łatwych projektów</t>
  </si>
  <si>
    <t>Szydełkowe zwierzątka amigurumi. 26 prostych wzorów</t>
  </si>
  <si>
    <t>4.50 z Paddington Christie</t>
  </si>
  <si>
    <t>ABC Christie</t>
  </si>
  <si>
    <t>Autobiografia Christie</t>
  </si>
  <si>
    <t>Czarna kawa Christie</t>
  </si>
  <si>
    <t>Dom zbrodni Christie</t>
  </si>
  <si>
    <t>Dwanaście prac Herkulesa Christie</t>
  </si>
  <si>
    <t>Entliczek pentliczek Christie</t>
  </si>
  <si>
    <t xml:space="preserve">Hotel Bertram Chriestie      </t>
  </si>
  <si>
    <t>I nie było już nikogo Christie</t>
  </si>
  <si>
    <t>Karaibska tajemnica A. Christie</t>
  </si>
  <si>
    <t>Karty na stół Christie</t>
  </si>
  <si>
    <t>Kieszeń pełna żyta Christie</t>
  </si>
  <si>
    <t>Kurtyna Christie</t>
  </si>
  <si>
    <t>Mord nocy letniej Christie</t>
  </si>
  <si>
    <t>Morderstwo na plebanii Christie</t>
  </si>
  <si>
    <t>Morderstwo na polu golfowym Christie</t>
  </si>
  <si>
    <t>Morderstwo odbędzie się Christie</t>
  </si>
  <si>
    <t>Morderstwo w Boże Narodzenie Christie</t>
  </si>
  <si>
    <t>Morderstwo w Mezopotamii Christie</t>
  </si>
  <si>
    <t xml:space="preserve">Morderstwo w Orient Expressie Christie </t>
  </si>
  <si>
    <t>Morderstwo w zaułku  Christie</t>
  </si>
  <si>
    <t>Nemezis Christie</t>
  </si>
  <si>
    <t>Niemy świadek Christie</t>
  </si>
  <si>
    <t>Noc w bibliotece Christie</t>
  </si>
  <si>
    <t>Pani McGinty nie żyje Christie</t>
  </si>
  <si>
    <t>Panna Marple. Dwanaście nowych historii Christie</t>
  </si>
  <si>
    <t>Pięć małych świnek Christie</t>
  </si>
  <si>
    <t>Po pogrzebie Christie</t>
  </si>
  <si>
    <t>Rendez-vous ze śmiercią Christie</t>
  </si>
  <si>
    <t xml:space="preserve">Samotny Dom Christie </t>
  </si>
  <si>
    <t>Strzały w Stonygates Christie</t>
  </si>
  <si>
    <t>Śmierć lorda Edgware'a Chriestie</t>
  </si>
  <si>
    <t>Śmierć na Nilu Christie</t>
  </si>
  <si>
    <t>Śmierć nadchodzi jesienią Christie</t>
  </si>
  <si>
    <t>Tajemnica gwiazdkowego puddingu Christie</t>
  </si>
  <si>
    <t>Tajemnicza historia w Styles Christie</t>
  </si>
  <si>
    <t>Tragedia w trzech aktach Christie</t>
  </si>
  <si>
    <t>Wielka Czwórka Christie</t>
  </si>
  <si>
    <t>Wigilia Wszystkich Świętych Christie</t>
  </si>
  <si>
    <t>Zabójstwo Rogera Ackroyda Christie</t>
  </si>
  <si>
    <t>Zagadka Błękitnego Ekspresu Christie</t>
  </si>
  <si>
    <t>Zatrute pióro Christie</t>
  </si>
  <si>
    <t>Zbrodnie zimową porą Christie</t>
  </si>
  <si>
    <t>Zerwane zaręczyny Christie</t>
  </si>
  <si>
    <t>Zło czai się wszędzie Christie</t>
  </si>
  <si>
    <t>Zło rozkwita wiosną Christie</t>
  </si>
  <si>
    <t>Zwierciadło pęka w odłamków stos</t>
  </si>
  <si>
    <t>Książki dla młodzieży! - KATALOG PUBLICAT S.A.: KSIĄŻKI DLA UCZNIÓW str. 11 i 12</t>
  </si>
  <si>
    <t>Kwota zamówienia:</t>
  </si>
  <si>
    <t>Termin płatności:</t>
  </si>
  <si>
    <t>.</t>
  </si>
  <si>
    <t>Heartland 1-2. Powroty. Po Burzy</t>
  </si>
  <si>
    <t>Heartland 3-4. Własna droga. Trudne decyzje</t>
  </si>
  <si>
    <t>Heartland 5-6. Co ma być, to będzie. Kiedyś zrozumiesz</t>
  </si>
  <si>
    <t>Ranczo Golden Horse 1. Wielkie oczekiwania</t>
  </si>
  <si>
    <t>Ranczo Golden Horse 3. Zgrana ekipa</t>
  </si>
  <si>
    <t xml:space="preserve">Ranczo Golden Horse 2. Nadchodzi burza </t>
  </si>
  <si>
    <t>Powrót Wojowniczki</t>
  </si>
  <si>
    <t>Córka strażnika ognia</t>
  </si>
  <si>
    <t>I Want to Forget. Chcę zapomnieć</t>
  </si>
  <si>
    <t>Stranger Things. Grobowiec Ybwena</t>
  </si>
  <si>
    <t xml:space="preserve">Stranger Things. Kamczatka </t>
  </si>
  <si>
    <t>Stranger Things. Obóz naukowy</t>
  </si>
  <si>
    <t>Stranger Things. Po drugiej stronie lustra</t>
  </si>
  <si>
    <t>Stranger Things. Prosto w ogień</t>
  </si>
  <si>
    <t>Stranger Things. Szóstka</t>
  </si>
  <si>
    <t>Zaćmienie. Wydanie luksusowe</t>
  </si>
  <si>
    <t>Księżyc w nowiu. Wydanie luksusowe</t>
  </si>
  <si>
    <t>Zmierzch. Wydanie luksusowe</t>
  </si>
  <si>
    <t>Przed świtem. Wydanie luksusowe</t>
  </si>
  <si>
    <t>Projekt HappyHead</t>
  </si>
  <si>
    <t>19 stopni</t>
  </si>
  <si>
    <t>ZAMAWIAJĄCY:</t>
  </si>
  <si>
    <t>Łączna wartość zamówienia:</t>
  </si>
  <si>
    <t>gratis</t>
  </si>
  <si>
    <t>Koszt dostawy:</t>
  </si>
  <si>
    <t xml:space="preserve">Uwagi do zamówienia: </t>
  </si>
  <si>
    <t>Podpis Zamawiającego:</t>
  </si>
  <si>
    <t>….......................................................................</t>
  </si>
  <si>
    <t>Zobowiązuję się do pokrycia kosztów powyższego zamówienia w formie przelewu po potwierdzeniu przyjęcia zamówienia przez firmę PRODEST Krzysztof Bujalski mieszczącą się w Gdańsku, kod pocztowy 80-180, przy ul. Jaworzniaków 28/2, NIP: 5841081347</t>
  </si>
  <si>
    <t>Zamówienia prosimy przesyłać drogą e-mailową na adres:</t>
  </si>
  <si>
    <t>zamowienia@bedeker.eu</t>
  </si>
  <si>
    <t>Maria Sekuła</t>
  </si>
  <si>
    <t>Specjalista ds. Kluczowych Klientów</t>
  </si>
  <si>
    <t>Nr tel. 797389116</t>
  </si>
  <si>
    <t>e-mail: m.sekula@bedeker.eu</t>
  </si>
  <si>
    <t>https://bedeker.eu/oferta-specjalna-2/</t>
  </si>
  <si>
    <t>002307</t>
  </si>
  <si>
    <t>002301</t>
  </si>
  <si>
    <t>002308</t>
  </si>
  <si>
    <t>002190</t>
  </si>
  <si>
    <t>002304</t>
  </si>
  <si>
    <t>000796</t>
  </si>
  <si>
    <t>002302</t>
  </si>
  <si>
    <t>002303</t>
  </si>
  <si>
    <t>002306</t>
  </si>
  <si>
    <t>001784</t>
  </si>
  <si>
    <t>001521</t>
  </si>
  <si>
    <t>002104</t>
  </si>
  <si>
    <t>001316</t>
  </si>
  <si>
    <t>002309</t>
  </si>
  <si>
    <t>002310</t>
  </si>
  <si>
    <t>000750</t>
  </si>
  <si>
    <t>001207</t>
  </si>
  <si>
    <t>002305</t>
  </si>
  <si>
    <t>002311</t>
  </si>
  <si>
    <t>002312</t>
  </si>
  <si>
    <t>002162</t>
  </si>
  <si>
    <t>002208</t>
  </si>
  <si>
    <t>002209</t>
  </si>
  <si>
    <t>002313</t>
  </si>
  <si>
    <t>002314</t>
  </si>
  <si>
    <t>002315</t>
  </si>
  <si>
    <t>002316</t>
  </si>
  <si>
    <t>002317</t>
  </si>
  <si>
    <t>002318</t>
  </si>
  <si>
    <t>002319</t>
  </si>
  <si>
    <t>002320</t>
  </si>
  <si>
    <t>002321</t>
  </si>
  <si>
    <t>002322</t>
  </si>
  <si>
    <t>002323</t>
  </si>
  <si>
    <t>002324</t>
  </si>
  <si>
    <t>002325</t>
  </si>
  <si>
    <t>000762</t>
  </si>
  <si>
    <t>002326</t>
  </si>
  <si>
    <t>002327</t>
  </si>
  <si>
    <t>002328</t>
  </si>
  <si>
    <t>002329</t>
  </si>
  <si>
    <t>002330</t>
  </si>
  <si>
    <t>002331</t>
  </si>
  <si>
    <t>002332</t>
  </si>
  <si>
    <t>002333</t>
  </si>
  <si>
    <t>002334</t>
  </si>
  <si>
    <t>002335</t>
  </si>
  <si>
    <t>002336</t>
  </si>
  <si>
    <t>002337</t>
  </si>
  <si>
    <t>002338</t>
  </si>
  <si>
    <t>002339</t>
  </si>
  <si>
    <t>002340</t>
  </si>
  <si>
    <t>002341</t>
  </si>
  <si>
    <t>002342</t>
  </si>
  <si>
    <t>002343</t>
  </si>
  <si>
    <t>002344</t>
  </si>
  <si>
    <t>002345</t>
  </si>
  <si>
    <t>002346</t>
  </si>
  <si>
    <t>002347</t>
  </si>
  <si>
    <t>002348</t>
  </si>
  <si>
    <t>002349</t>
  </si>
  <si>
    <t>002350</t>
  </si>
  <si>
    <t>002351</t>
  </si>
  <si>
    <t>002352</t>
  </si>
  <si>
    <t>002353</t>
  </si>
  <si>
    <t>002354</t>
  </si>
  <si>
    <t>002355</t>
  </si>
  <si>
    <t>002356</t>
  </si>
  <si>
    <t>002357</t>
  </si>
  <si>
    <t>002358</t>
  </si>
  <si>
    <t>002359</t>
  </si>
  <si>
    <t>002360</t>
  </si>
  <si>
    <t>002361</t>
  </si>
  <si>
    <t>002362</t>
  </si>
  <si>
    <t>002363</t>
  </si>
  <si>
    <t>002364</t>
  </si>
  <si>
    <t>002365</t>
  </si>
  <si>
    <t>002366</t>
  </si>
  <si>
    <t>002367</t>
  </si>
  <si>
    <t>002368</t>
  </si>
  <si>
    <t>002369</t>
  </si>
  <si>
    <t>002370</t>
  </si>
  <si>
    <t>002371</t>
  </si>
  <si>
    <t>002372</t>
  </si>
  <si>
    <t>002373</t>
  </si>
  <si>
    <t>002374</t>
  </si>
  <si>
    <t>002375</t>
  </si>
  <si>
    <t>002376</t>
  </si>
  <si>
    <t>002377</t>
  </si>
  <si>
    <t>002378</t>
  </si>
  <si>
    <t>002379</t>
  </si>
  <si>
    <t>002380</t>
  </si>
  <si>
    <t>002381</t>
  </si>
  <si>
    <t>002382</t>
  </si>
  <si>
    <t>002383</t>
  </si>
  <si>
    <t>002384</t>
  </si>
  <si>
    <t>002385</t>
  </si>
  <si>
    <t>002386</t>
  </si>
  <si>
    <t>PUBLICAT KATALOG 2024 PRZEDSZKOLA</t>
  </si>
  <si>
    <t>PUBLICAT KATALOG 2024 SZKOŁY</t>
  </si>
  <si>
    <t>https://drive.google.com/file/d/1oNsVn8vE5ROKWnd6-TnC_R4mCfpnbIcU/view</t>
  </si>
  <si>
    <t>https://drive.google.com/file/d/12IbHeF68clBSV8vaj8zNj12iEvGEmONq/view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</si>
</sst>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\ [$zł-415]_);\(#,##0.00\)\ [$zł-415]_);_(* &quot;-&quot;??_)\ [$zł-415]_);_(@"/>
    <numFmt numFmtId="165" formatCode="#,##0.00\ [$zł-415]"/>
    <numFmt numFmtId="166" formatCode="[$-415]General"/>
    <numFmt numFmtId="167" formatCode="#,##0.00\ &quot;zł&quot;"/>
    <numFmt numFmtId="168" formatCode="_-* #,##0.00\ [$zł-415]_-;\-* #,##0.00\ [$zł-415]_-;_-* &quot;-&quot;??\ [$zł-415]_-;_-@_-"/>
  </numFmts>
  <fonts count="28" x14ac:knownFonts="1">
    <font>
      <sz val="11"/>
      <color theme="1"/>
      <name val="Calibri"/>
      <scheme val="minor"/>
    </font>
    <font>
      <b/>
      <sz val="12"/>
      <color rgb="FF000000"/>
      <name val="Calibri"/>
      <family val="2"/>
      <charset val="238"/>
    </font>
    <font>
      <b/>
      <sz val="8"/>
      <color rgb="FF000000"/>
      <name val="Calibri"/>
      <family val="2"/>
      <charset val="238"/>
    </font>
    <font>
      <b/>
      <sz val="8"/>
      <color theme="1"/>
      <name val="Calibri"/>
      <family val="2"/>
      <charset val="238"/>
    </font>
    <font>
      <sz val="8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b/>
      <sz val="8"/>
      <color theme="1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color rgb="FF000000"/>
      <name val="Calibri"/>
      <family val="2"/>
      <charset val="238"/>
    </font>
    <font>
      <b/>
      <sz val="8"/>
      <color rgb="FF000000"/>
      <name val="Calibri"/>
      <family val="2"/>
      <charset val="238"/>
    </font>
    <font>
      <b/>
      <sz val="16"/>
      <color rgb="FF000000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2"/>
      <color theme="1"/>
      <name val="Calibri"/>
      <family val="2"/>
      <charset val="238"/>
      <scheme val="minor"/>
    </font>
    <font>
      <sz val="1"/>
      <color theme="1"/>
      <name val="Calibri"/>
      <family val="2"/>
      <charset val="238"/>
      <scheme val="minor"/>
    </font>
    <font>
      <b/>
      <sz val="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b/>
      <sz val="1"/>
      <color rgb="FF000000"/>
      <name val="Calibri"/>
      <family val="2"/>
      <charset val="238"/>
    </font>
    <font>
      <sz val="1"/>
      <color rgb="FF00000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u/>
      <sz val="14"/>
      <color theme="10"/>
      <name val="Calibri"/>
      <family val="2"/>
      <charset val="238"/>
      <scheme val="minor"/>
    </font>
    <font>
      <b/>
      <u/>
      <sz val="16"/>
      <color theme="1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ajor"/>
    </font>
    <font>
      <u/>
      <sz val="16"/>
      <color theme="10"/>
      <name val="Calibri"/>
      <family val="2"/>
      <charset val="238"/>
      <scheme val="minor"/>
    </font>
    <font>
      <b/>
      <sz val="30"/>
      <color rgb="FF00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rgb="FFFFFFFF"/>
      </patternFill>
    </fill>
    <fill>
      <patternFill patternType="solid">
        <fgColor rgb="FF00B0F0"/>
        <bgColor rgb="FFFF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143">
    <xf numFmtId="0" fontId="0" fillId="0" borderId="0" xfId="0"/>
    <xf numFmtId="1" fontId="3" fillId="4" borderId="1" xfId="0" applyNumberFormat="1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3" fontId="3" fillId="4" borderId="3" xfId="0" applyNumberFormat="1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164" fontId="7" fillId="4" borderId="3" xfId="0" applyNumberFormat="1" applyFont="1" applyFill="1" applyBorder="1" applyAlignment="1">
      <alignment horizontal="center" vertical="center" wrapText="1"/>
    </xf>
    <xf numFmtId="164" fontId="8" fillId="8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165" fontId="4" fillId="0" borderId="1" xfId="0" applyNumberFormat="1" applyFont="1" applyBorder="1" applyAlignment="1">
      <alignment horizontal="left" vertical="center" wrapText="1"/>
    </xf>
    <xf numFmtId="1" fontId="4" fillId="0" borderId="1" xfId="0" applyNumberFormat="1" applyFont="1" applyBorder="1" applyAlignment="1">
      <alignment horizontal="left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9" fillId="0" borderId="0" xfId="0" applyFont="1"/>
    <xf numFmtId="3" fontId="8" fillId="2" borderId="1" xfId="0" applyNumberFormat="1" applyFont="1" applyFill="1" applyBorder="1" applyAlignment="1">
      <alignment horizontal="center" vertical="center"/>
    </xf>
    <xf numFmtId="1" fontId="2" fillId="3" borderId="7" xfId="0" applyNumberFormat="1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left" vertical="center" wrapText="1"/>
    </xf>
    <xf numFmtId="167" fontId="4" fillId="3" borderId="7" xfId="0" applyNumberFormat="1" applyFont="1" applyFill="1" applyBorder="1" applyAlignment="1">
      <alignment horizontal="center" vertical="center"/>
    </xf>
    <xf numFmtId="3" fontId="4" fillId="3" borderId="7" xfId="0" applyNumberFormat="1" applyFont="1" applyFill="1" applyBorder="1" applyAlignment="1">
      <alignment horizontal="center" vertical="center"/>
    </xf>
    <xf numFmtId="3" fontId="8" fillId="2" borderId="7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wrapText="1"/>
    </xf>
    <xf numFmtId="165" fontId="4" fillId="0" borderId="7" xfId="0" applyNumberFormat="1" applyFont="1" applyBorder="1" applyAlignment="1">
      <alignment horizontal="left" vertical="center" wrapText="1"/>
    </xf>
    <xf numFmtId="166" fontId="3" fillId="4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/>
    </xf>
    <xf numFmtId="1" fontId="10" fillId="3" borderId="1" xfId="0" applyNumberFormat="1" applyFont="1" applyFill="1" applyBorder="1" applyAlignment="1">
      <alignment horizontal="center" vertical="center"/>
    </xf>
    <xf numFmtId="165" fontId="10" fillId="3" borderId="1" xfId="0" applyNumberFormat="1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1" fontId="11" fillId="3" borderId="7" xfId="0" applyNumberFormat="1" applyFont="1" applyFill="1" applyBorder="1" applyAlignment="1">
      <alignment horizontal="center" vertical="center"/>
    </xf>
    <xf numFmtId="1" fontId="3" fillId="4" borderId="2" xfId="0" applyNumberFormat="1" applyFont="1" applyFill="1" applyBorder="1" applyAlignment="1">
      <alignment horizontal="center" vertical="center"/>
    </xf>
    <xf numFmtId="166" fontId="3" fillId="4" borderId="2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3" fontId="3" fillId="4" borderId="2" xfId="0" applyNumberFormat="1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left" vertical="center" wrapText="1"/>
    </xf>
    <xf numFmtId="164" fontId="8" fillId="8" borderId="2" xfId="0" applyNumberFormat="1" applyFont="1" applyFill="1" applyBorder="1" applyAlignment="1">
      <alignment horizontal="center" vertical="center"/>
    </xf>
    <xf numFmtId="3" fontId="4" fillId="3" borderId="2" xfId="0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165" fontId="4" fillId="0" borderId="2" xfId="0" applyNumberFormat="1" applyFont="1" applyBorder="1" applyAlignment="1">
      <alignment horizontal="left" vertical="center" wrapText="1"/>
    </xf>
    <xf numFmtId="165" fontId="10" fillId="0" borderId="1" xfId="0" applyNumberFormat="1" applyFont="1" applyBorder="1" applyAlignment="1">
      <alignment horizontal="left" vertical="center" wrapText="1"/>
    </xf>
    <xf numFmtId="0" fontId="4" fillId="3" borderId="9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left" vertical="center" wrapText="1"/>
    </xf>
    <xf numFmtId="167" fontId="4" fillId="3" borderId="2" xfId="0" applyNumberFormat="1" applyFont="1" applyFill="1" applyBorder="1" applyAlignment="1">
      <alignment horizontal="center" vertical="center"/>
    </xf>
    <xf numFmtId="1" fontId="2" fillId="3" borderId="9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left" vertical="center" wrapText="1"/>
    </xf>
    <xf numFmtId="1" fontId="4" fillId="0" borderId="4" xfId="0" applyNumberFormat="1" applyFont="1" applyBorder="1" applyAlignment="1">
      <alignment horizontal="center" vertical="center"/>
    </xf>
    <xf numFmtId="1" fontId="4" fillId="3" borderId="4" xfId="0" applyNumberFormat="1" applyFont="1" applyFill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167" fontId="4" fillId="3" borderId="9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 wrapText="1"/>
    </xf>
    <xf numFmtId="1" fontId="10" fillId="3" borderId="2" xfId="0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vertical="center" wrapText="1"/>
    </xf>
    <xf numFmtId="165" fontId="10" fillId="0" borderId="2" xfId="0" applyNumberFormat="1" applyFont="1" applyBorder="1" applyAlignment="1">
      <alignment horizontal="center" vertical="center"/>
    </xf>
    <xf numFmtId="165" fontId="10" fillId="0" borderId="7" xfId="0" applyNumberFormat="1" applyFont="1" applyBorder="1" applyAlignment="1">
      <alignment horizontal="center" vertical="center"/>
    </xf>
    <xf numFmtId="0" fontId="13" fillId="10" borderId="4" xfId="0" applyFont="1" applyFill="1" applyBorder="1" applyAlignment="1">
      <alignment horizontal="center" vertical="center"/>
    </xf>
    <xf numFmtId="0" fontId="13" fillId="10" borderId="8" xfId="0" applyFont="1" applyFill="1" applyBorder="1" applyAlignment="1">
      <alignment horizontal="center" vertical="center"/>
    </xf>
    <xf numFmtId="0" fontId="14" fillId="0" borderId="8" xfId="0" applyFont="1" applyBorder="1"/>
    <xf numFmtId="0" fontId="14" fillId="0" borderId="0" xfId="0" applyFont="1"/>
    <xf numFmtId="0" fontId="15" fillId="0" borderId="8" xfId="0" applyFont="1" applyBorder="1"/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165" fontId="12" fillId="9" borderId="4" xfId="0" applyNumberFormat="1" applyFont="1" applyFill="1" applyBorder="1" applyAlignment="1">
      <alignment horizontal="left" vertical="center" wrapText="1"/>
    </xf>
    <xf numFmtId="165" fontId="12" fillId="9" borderId="8" xfId="0" applyNumberFormat="1" applyFont="1" applyFill="1" applyBorder="1" applyAlignment="1">
      <alignment horizontal="left" vertical="center" wrapText="1"/>
    </xf>
    <xf numFmtId="165" fontId="12" fillId="9" borderId="5" xfId="0" applyNumberFormat="1" applyFont="1" applyFill="1" applyBorder="1" applyAlignment="1">
      <alignment horizontal="left" vertical="center" wrapText="1"/>
    </xf>
    <xf numFmtId="165" fontId="12" fillId="9" borderId="4" xfId="0" applyNumberFormat="1" applyFont="1" applyFill="1" applyBorder="1" applyAlignment="1">
      <alignment horizontal="center" vertical="center"/>
    </xf>
    <xf numFmtId="0" fontId="13" fillId="10" borderId="4" xfId="0" applyFont="1" applyFill="1" applyBorder="1" applyAlignment="1">
      <alignment vertical="center"/>
    </xf>
    <xf numFmtId="0" fontId="13" fillId="10" borderId="8" xfId="0" applyFont="1" applyFill="1" applyBorder="1" applyAlignment="1">
      <alignment vertical="center"/>
    </xf>
    <xf numFmtId="0" fontId="13" fillId="10" borderId="5" xfId="0" applyFont="1" applyFill="1" applyBorder="1" applyAlignment="1">
      <alignment vertical="center"/>
    </xf>
    <xf numFmtId="165" fontId="12" fillId="9" borderId="6" xfId="0" applyNumberFormat="1" applyFont="1" applyFill="1" applyBorder="1" applyAlignment="1">
      <alignment vertical="center" wrapText="1"/>
    </xf>
    <xf numFmtId="165" fontId="12" fillId="9" borderId="6" xfId="0" applyNumberFormat="1" applyFont="1" applyFill="1" applyBorder="1" applyAlignment="1">
      <alignment horizontal="center" vertical="center"/>
    </xf>
    <xf numFmtId="165" fontId="8" fillId="9" borderId="8" xfId="0" applyNumberFormat="1" applyFont="1" applyFill="1" applyBorder="1" applyAlignment="1">
      <alignment horizontal="left" vertical="center" wrapText="1"/>
    </xf>
    <xf numFmtId="0" fontId="18" fillId="0" borderId="8" xfId="0" applyFont="1" applyBorder="1"/>
    <xf numFmtId="165" fontId="8" fillId="6" borderId="1" xfId="0" applyNumberFormat="1" applyFont="1" applyFill="1" applyBorder="1" applyAlignment="1">
      <alignment horizontal="center" vertical="center"/>
    </xf>
    <xf numFmtId="0" fontId="18" fillId="10" borderId="8" xfId="0" applyFont="1" applyFill="1" applyBorder="1" applyAlignment="1">
      <alignment vertical="center"/>
    </xf>
    <xf numFmtId="0" fontId="18" fillId="0" borderId="0" xfId="0" applyFont="1"/>
    <xf numFmtId="165" fontId="8" fillId="9" borderId="6" xfId="0" applyNumberFormat="1" applyFont="1" applyFill="1" applyBorder="1" applyAlignment="1">
      <alignment vertical="center" wrapText="1"/>
    </xf>
    <xf numFmtId="0" fontId="18" fillId="10" borderId="8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 wrapText="1"/>
    </xf>
    <xf numFmtId="164" fontId="19" fillId="5" borderId="2" xfId="0" applyNumberFormat="1" applyFont="1" applyFill="1" applyBorder="1" applyAlignment="1">
      <alignment horizontal="center" vertical="center" wrapText="1"/>
    </xf>
    <xf numFmtId="1" fontId="3" fillId="4" borderId="3" xfId="0" applyNumberFormat="1" applyFont="1" applyFill="1" applyBorder="1" applyAlignment="1">
      <alignment horizontal="center" vertical="center"/>
    </xf>
    <xf numFmtId="166" fontId="3" fillId="4" borderId="3" xfId="0" applyNumberFormat="1" applyFont="1" applyFill="1" applyBorder="1" applyAlignment="1">
      <alignment horizontal="center" vertical="center" wrapText="1"/>
    </xf>
    <xf numFmtId="0" fontId="15" fillId="0" borderId="6" xfId="0" applyFont="1" applyBorder="1"/>
    <xf numFmtId="0" fontId="18" fillId="0" borderId="6" xfId="0" applyFont="1" applyBorder="1"/>
    <xf numFmtId="1" fontId="20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left" vertical="center" wrapText="1"/>
    </xf>
    <xf numFmtId="167" fontId="21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167" fontId="4" fillId="0" borderId="2" xfId="0" applyNumberFormat="1" applyFont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13" fillId="0" borderId="0" xfId="0" applyFont="1"/>
    <xf numFmtId="0" fontId="23" fillId="0" borderId="0" xfId="1" applyFont="1"/>
    <xf numFmtId="1" fontId="4" fillId="0" borderId="9" xfId="0" applyNumberFormat="1" applyFont="1" applyBorder="1" applyAlignment="1">
      <alignment horizontal="center" vertical="center"/>
    </xf>
    <xf numFmtId="165" fontId="10" fillId="0" borderId="9" xfId="0" applyNumberFormat="1" applyFont="1" applyBorder="1" applyAlignment="1">
      <alignment horizontal="left" vertical="center" wrapText="1"/>
    </xf>
    <xf numFmtId="0" fontId="24" fillId="0" borderId="0" xfId="1" applyFont="1" applyAlignment="1">
      <alignment horizontal="left"/>
    </xf>
    <xf numFmtId="0" fontId="25" fillId="7" borderId="0" xfId="0" applyFont="1" applyFill="1" applyAlignment="1">
      <alignment horizontal="right"/>
    </xf>
    <xf numFmtId="165" fontId="4" fillId="0" borderId="7" xfId="0" applyNumberFormat="1" applyFont="1" applyBorder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0" fontId="26" fillId="0" borderId="0" xfId="1" applyFont="1" applyAlignment="1">
      <alignment horizontal="center"/>
    </xf>
    <xf numFmtId="0" fontId="9" fillId="0" borderId="0" xfId="0" applyFont="1" applyAlignment="1">
      <alignment horizontal="center" wrapText="1"/>
    </xf>
    <xf numFmtId="165" fontId="17" fillId="7" borderId="0" xfId="0" applyNumberFormat="1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13" fillId="0" borderId="11" xfId="0" applyFont="1" applyBorder="1" applyAlignment="1">
      <alignment horizontal="left" vertical="top"/>
    </xf>
    <xf numFmtId="0" fontId="13" fillId="0" borderId="12" xfId="0" applyFont="1" applyBorder="1" applyAlignment="1">
      <alignment horizontal="left" vertical="top"/>
    </xf>
    <xf numFmtId="0" fontId="13" fillId="0" borderId="13" xfId="0" applyFont="1" applyBorder="1" applyAlignment="1">
      <alignment horizontal="left" vertical="top"/>
    </xf>
    <xf numFmtId="0" fontId="13" fillId="0" borderId="14" xfId="0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0" fontId="13" fillId="0" borderId="15" xfId="0" applyFont="1" applyBorder="1" applyAlignment="1">
      <alignment horizontal="left" vertical="top"/>
    </xf>
    <xf numFmtId="1" fontId="27" fillId="0" borderId="0" xfId="0" applyNumberFormat="1" applyFont="1" applyAlignment="1">
      <alignment horizontal="center" vertical="center"/>
    </xf>
    <xf numFmtId="1" fontId="19" fillId="0" borderId="2" xfId="0" applyNumberFormat="1" applyFont="1" applyBorder="1" applyAlignment="1">
      <alignment horizontal="center" vertical="center" wrapText="1"/>
    </xf>
    <xf numFmtId="1" fontId="19" fillId="7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center" vertical="center" wrapText="1"/>
    </xf>
    <xf numFmtId="1" fontId="1" fillId="7" borderId="8" xfId="0" applyNumberFormat="1" applyFont="1" applyFill="1" applyBorder="1" applyAlignment="1">
      <alignment horizontal="center" vertical="center" wrapText="1"/>
    </xf>
    <xf numFmtId="1" fontId="1" fillId="7" borderId="5" xfId="0" applyNumberFormat="1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164" fontId="1" fillId="0" borderId="8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8" fontId="17" fillId="5" borderId="4" xfId="0" applyNumberFormat="1" applyFont="1" applyFill="1" applyBorder="1" applyAlignment="1">
      <alignment horizontal="right"/>
    </xf>
    <xf numFmtId="168" fontId="17" fillId="5" borderId="5" xfId="0" applyNumberFormat="1" applyFont="1" applyFill="1" applyBorder="1" applyAlignment="1">
      <alignment horizontal="right"/>
    </xf>
    <xf numFmtId="1" fontId="19" fillId="11" borderId="4" xfId="0" applyNumberFormat="1" applyFont="1" applyFill="1" applyBorder="1" applyAlignment="1">
      <alignment horizontal="center" vertical="center" wrapText="1"/>
    </xf>
    <xf numFmtId="1" fontId="19" fillId="11" borderId="5" xfId="0" applyNumberFormat="1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160020</xdr:rowOff>
    </xdr:from>
    <xdr:to>
      <xdr:col>8</xdr:col>
      <xdr:colOff>633107</xdr:colOff>
      <xdr:row>5</xdr:row>
      <xdr:rowOff>1531739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C0183A1-E376-641D-68FB-63511998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4480" y="246888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1</xdr:col>
      <xdr:colOff>1249680</xdr:colOff>
      <xdr:row>11</xdr:row>
      <xdr:rowOff>137160</xdr:rowOff>
    </xdr:from>
    <xdr:to>
      <xdr:col>8</xdr:col>
      <xdr:colOff>625487</xdr:colOff>
      <xdr:row>11</xdr:row>
      <xdr:rowOff>1508879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8531C48-C0D9-68D0-D24F-8927ED3F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6860" y="525018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1</xdr:col>
      <xdr:colOff>1249680</xdr:colOff>
      <xdr:row>21</xdr:row>
      <xdr:rowOff>144780</xdr:rowOff>
    </xdr:from>
    <xdr:to>
      <xdr:col>8</xdr:col>
      <xdr:colOff>625487</xdr:colOff>
      <xdr:row>21</xdr:row>
      <xdr:rowOff>1516499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1FCBD33-E658-B3E3-BAB3-9D210D04B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6860" y="880872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29</xdr:row>
      <xdr:rowOff>137160</xdr:rowOff>
    </xdr:from>
    <xdr:to>
      <xdr:col>8</xdr:col>
      <xdr:colOff>655967</xdr:colOff>
      <xdr:row>29</xdr:row>
      <xdr:rowOff>1508879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3C14551-4229-4072-CDA5-01DE07D2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7340" y="1198626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</xdr:colOff>
      <xdr:row>37</xdr:row>
      <xdr:rowOff>152400</xdr:rowOff>
    </xdr:from>
    <xdr:to>
      <xdr:col>8</xdr:col>
      <xdr:colOff>648347</xdr:colOff>
      <xdr:row>37</xdr:row>
      <xdr:rowOff>1524119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0266FA8-1B77-CDA3-A1A6-61159F434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9720" y="1518666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129540</xdr:rowOff>
    </xdr:from>
    <xdr:to>
      <xdr:col>8</xdr:col>
      <xdr:colOff>633107</xdr:colOff>
      <xdr:row>44</xdr:row>
      <xdr:rowOff>1501259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2A88E22F-A297-7AD4-9DEA-A25FD741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4480" y="1903476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</xdr:colOff>
      <xdr:row>213</xdr:row>
      <xdr:rowOff>144780</xdr:rowOff>
    </xdr:from>
    <xdr:to>
      <xdr:col>8</xdr:col>
      <xdr:colOff>648347</xdr:colOff>
      <xdr:row>213</xdr:row>
      <xdr:rowOff>1516499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410D0D6-A871-C166-E3B7-F6959A05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69720" y="6076950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1</xdr:col>
      <xdr:colOff>1249680</xdr:colOff>
      <xdr:row>272</xdr:row>
      <xdr:rowOff>152400</xdr:rowOff>
    </xdr:from>
    <xdr:to>
      <xdr:col>8</xdr:col>
      <xdr:colOff>625487</xdr:colOff>
      <xdr:row>272</xdr:row>
      <xdr:rowOff>1524119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E9129851-03DF-632B-C2EE-14F43CAE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6860" y="7360158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</xdr:colOff>
      <xdr:row>243</xdr:row>
      <xdr:rowOff>121920</xdr:rowOff>
    </xdr:from>
    <xdr:to>
      <xdr:col>8</xdr:col>
      <xdr:colOff>640727</xdr:colOff>
      <xdr:row>243</xdr:row>
      <xdr:rowOff>1493639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1B6E71CD-2574-12A4-8661-3A8E68B5C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62100" y="68877180"/>
          <a:ext cx="7468247" cy="137171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oNsVn8vE5ROKWnd6-TnC_R4mCfpnbIcU/view?usp=sharing" TargetMode="External"/><Relationship Id="rId2" Type="http://schemas.openxmlformats.org/officeDocument/2006/relationships/hyperlink" Target="mailto:m.sekula@bedeker.eu" TargetMode="External"/><Relationship Id="rId1" Type="http://schemas.openxmlformats.org/officeDocument/2006/relationships/hyperlink" Target="mailto:zamowienia@bedeker.e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drive.google.com/file/d/12IbHeF68clBSV8vaj8zNj12iEvGEmONq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67"/>
  <sheetViews>
    <sheetView tabSelected="1" topLeftCell="A336" workbookViewId="0">
      <selection activeCell="A346" sqref="A346:XFD368"/>
    </sheetView>
  </sheetViews>
  <sheetFormatPr defaultColWidth="14.44140625" defaultRowHeight="15" customHeight="1" x14ac:dyDescent="0.3"/>
  <cols>
    <col min="1" max="1" width="4.33203125" customWidth="1"/>
    <col min="2" max="2" width="18.33203125" customWidth="1"/>
    <col min="3" max="3" width="46.21875" customWidth="1"/>
    <col min="4" max="4" width="9.5546875" style="13" customWidth="1"/>
    <col min="5" max="5" width="11.109375" customWidth="1"/>
    <col min="6" max="6" width="5.44140625" customWidth="1"/>
    <col min="7" max="7" width="10.88671875" style="18" customWidth="1"/>
    <col min="8" max="8" width="16.44140625" style="86" customWidth="1"/>
    <col min="9" max="9" width="13.88671875" customWidth="1"/>
    <col min="10" max="10" width="11.88671875" customWidth="1"/>
  </cols>
  <sheetData>
    <row r="1" spans="1:10" ht="34.799999999999997" customHeight="1" x14ac:dyDescent="0.3">
      <c r="A1" s="127" t="s">
        <v>162</v>
      </c>
      <c r="B1" s="127"/>
      <c r="C1" s="127"/>
      <c r="D1" s="127"/>
      <c r="E1" s="127"/>
      <c r="F1" s="127"/>
      <c r="G1" s="127"/>
      <c r="H1" s="127"/>
      <c r="I1" s="127"/>
      <c r="J1" s="127"/>
    </row>
    <row r="2" spans="1:10" ht="28.8" customHeight="1" x14ac:dyDescent="0.3">
      <c r="A2" s="140" t="s">
        <v>345</v>
      </c>
      <c r="B2" s="141"/>
      <c r="C2" s="142"/>
      <c r="D2" s="142"/>
      <c r="E2" s="142"/>
      <c r="F2" s="142"/>
      <c r="G2" s="142"/>
      <c r="H2" s="89" t="s">
        <v>159</v>
      </c>
      <c r="I2" s="133"/>
      <c r="J2" s="134"/>
    </row>
    <row r="3" spans="1:10" ht="36" customHeight="1" x14ac:dyDescent="0.4">
      <c r="A3" s="128" t="s">
        <v>160</v>
      </c>
      <c r="B3" s="128"/>
      <c r="C3" s="135"/>
      <c r="D3" s="136"/>
      <c r="E3" s="136"/>
      <c r="F3" s="136"/>
      <c r="G3" s="137"/>
      <c r="H3" s="90" t="s">
        <v>321</v>
      </c>
      <c r="I3" s="138">
        <f>SUM(H8:H344)</f>
        <v>0</v>
      </c>
      <c r="J3" s="139"/>
    </row>
    <row r="4" spans="1:10" ht="34.799999999999997" customHeight="1" x14ac:dyDescent="0.3">
      <c r="A4" s="129" t="s">
        <v>161</v>
      </c>
      <c r="B4" s="129"/>
      <c r="C4" s="130"/>
      <c r="D4" s="131"/>
      <c r="E4" s="131"/>
      <c r="F4" s="131"/>
      <c r="G4" s="132"/>
      <c r="H4" s="89" t="s">
        <v>322</v>
      </c>
      <c r="I4" s="133"/>
      <c r="J4" s="134"/>
    </row>
    <row r="5" spans="1:10" ht="39" customHeight="1" x14ac:dyDescent="0.3">
      <c r="A5" s="73"/>
      <c r="B5" s="74"/>
      <c r="C5" s="74"/>
      <c r="D5" s="76" t="s">
        <v>167</v>
      </c>
      <c r="E5" s="74"/>
      <c r="F5" s="74"/>
      <c r="G5" s="74"/>
      <c r="H5" s="82"/>
      <c r="I5" s="74"/>
      <c r="J5" s="75"/>
    </row>
    <row r="6" spans="1:10" s="70" customFormat="1" ht="132.6" customHeight="1" x14ac:dyDescent="0.3">
      <c r="A6" s="69" t="s">
        <v>323</v>
      </c>
      <c r="B6" s="69" t="s">
        <v>323</v>
      </c>
      <c r="C6" s="69" t="s">
        <v>323</v>
      </c>
      <c r="D6" s="69" t="s">
        <v>323</v>
      </c>
      <c r="E6" s="69" t="s">
        <v>323</v>
      </c>
      <c r="F6" s="69" t="s">
        <v>323</v>
      </c>
      <c r="G6" s="69" t="s">
        <v>323</v>
      </c>
      <c r="H6" s="83" t="s">
        <v>323</v>
      </c>
      <c r="I6" s="69" t="s">
        <v>323</v>
      </c>
      <c r="J6" s="69" t="s">
        <v>323</v>
      </c>
    </row>
    <row r="7" spans="1:10" ht="28.2" customHeight="1" x14ac:dyDescent="0.3">
      <c r="A7" s="1" t="s">
        <v>0</v>
      </c>
      <c r="B7" s="1" t="s">
        <v>1</v>
      </c>
      <c r="C7" s="28" t="s">
        <v>2</v>
      </c>
      <c r="D7" s="10" t="s">
        <v>163</v>
      </c>
      <c r="E7" s="11" t="s">
        <v>164</v>
      </c>
      <c r="F7" s="8" t="s">
        <v>3</v>
      </c>
      <c r="G7" s="17" t="s">
        <v>165</v>
      </c>
      <c r="H7" s="17" t="s">
        <v>166</v>
      </c>
      <c r="I7" s="17" t="s">
        <v>180</v>
      </c>
      <c r="J7" s="9" t="s">
        <v>4</v>
      </c>
    </row>
    <row r="8" spans="1:10" ht="15" customHeight="1" x14ac:dyDescent="0.3">
      <c r="A8" s="2">
        <v>1</v>
      </c>
      <c r="B8" s="7">
        <v>9788327107213</v>
      </c>
      <c r="C8" s="14" t="s">
        <v>17</v>
      </c>
      <c r="D8" s="6">
        <v>27.99</v>
      </c>
      <c r="E8" s="12">
        <f t="shared" ref="E8:E11" si="0">ROUND(D8*0.65,2)</f>
        <v>18.190000000000001</v>
      </c>
      <c r="F8" s="3">
        <v>5</v>
      </c>
      <c r="G8" s="19"/>
      <c r="H8" s="84">
        <f t="shared" ref="H8:H11" si="1">G8*D8</f>
        <v>0</v>
      </c>
      <c r="I8" s="5" t="s">
        <v>5</v>
      </c>
      <c r="J8" s="4" t="s">
        <v>168</v>
      </c>
    </row>
    <row r="9" spans="1:10" ht="15" customHeight="1" x14ac:dyDescent="0.3">
      <c r="A9" s="2">
        <v>2</v>
      </c>
      <c r="B9" s="7">
        <v>9788327107183</v>
      </c>
      <c r="C9" s="49" t="s">
        <v>209</v>
      </c>
      <c r="D9" s="6">
        <v>27.99</v>
      </c>
      <c r="E9" s="12">
        <f t="shared" si="0"/>
        <v>18.190000000000001</v>
      </c>
      <c r="F9" s="3">
        <v>5</v>
      </c>
      <c r="G9" s="19"/>
      <c r="H9" s="84">
        <f t="shared" si="1"/>
        <v>0</v>
      </c>
      <c r="I9" s="5" t="s">
        <v>5</v>
      </c>
      <c r="J9" s="4" t="s">
        <v>169</v>
      </c>
    </row>
    <row r="10" spans="1:10" ht="15" customHeight="1" x14ac:dyDescent="0.3">
      <c r="A10" s="2">
        <v>3</v>
      </c>
      <c r="B10" s="7">
        <v>9788327107190</v>
      </c>
      <c r="C10" s="16" t="s">
        <v>116</v>
      </c>
      <c r="D10" s="6">
        <v>27.99</v>
      </c>
      <c r="E10" s="12">
        <f t="shared" si="0"/>
        <v>18.190000000000001</v>
      </c>
      <c r="F10" s="3">
        <v>5</v>
      </c>
      <c r="G10" s="19"/>
      <c r="H10" s="84">
        <f t="shared" si="1"/>
        <v>0</v>
      </c>
      <c r="I10" s="5" t="s">
        <v>5</v>
      </c>
      <c r="J10" s="4" t="s">
        <v>170</v>
      </c>
    </row>
    <row r="11" spans="1:10" ht="15" customHeight="1" x14ac:dyDescent="0.3">
      <c r="A11" s="20">
        <v>4</v>
      </c>
      <c r="B11" s="21">
        <v>9788327107206</v>
      </c>
      <c r="C11" s="22" t="s">
        <v>117</v>
      </c>
      <c r="D11" s="23">
        <v>27.99</v>
      </c>
      <c r="E11" s="12">
        <f t="shared" si="0"/>
        <v>18.190000000000001</v>
      </c>
      <c r="F11" s="24">
        <v>5</v>
      </c>
      <c r="G11" s="25"/>
      <c r="H11" s="84">
        <f t="shared" si="1"/>
        <v>0</v>
      </c>
      <c r="I11" s="26" t="s">
        <v>5</v>
      </c>
      <c r="J11" s="113" t="s">
        <v>171</v>
      </c>
    </row>
    <row r="12" spans="1:10" s="70" customFormat="1" ht="132" customHeight="1" x14ac:dyDescent="0.3">
      <c r="A12" s="69" t="s">
        <v>323</v>
      </c>
      <c r="B12" s="69" t="s">
        <v>323</v>
      </c>
      <c r="C12" s="69" t="s">
        <v>323</v>
      </c>
      <c r="D12" s="69" t="s">
        <v>323</v>
      </c>
      <c r="E12" s="69" t="s">
        <v>323</v>
      </c>
      <c r="F12" s="69" t="s">
        <v>323</v>
      </c>
      <c r="G12" s="69" t="s">
        <v>323</v>
      </c>
      <c r="H12" s="83" t="s">
        <v>323</v>
      </c>
      <c r="I12" s="69" t="s">
        <v>323</v>
      </c>
      <c r="J12" s="69" t="s">
        <v>323</v>
      </c>
    </row>
    <row r="13" spans="1:10" ht="28.2" customHeight="1" x14ac:dyDescent="0.3">
      <c r="A13" s="1" t="s">
        <v>0</v>
      </c>
      <c r="B13" s="1" t="s">
        <v>1</v>
      </c>
      <c r="C13" s="28" t="s">
        <v>2</v>
      </c>
      <c r="D13" s="10" t="s">
        <v>163</v>
      </c>
      <c r="E13" s="11" t="s">
        <v>164</v>
      </c>
      <c r="F13" s="8" t="s">
        <v>3</v>
      </c>
      <c r="G13" s="17" t="s">
        <v>165</v>
      </c>
      <c r="H13" s="17" t="s">
        <v>166</v>
      </c>
      <c r="I13" s="17" t="s">
        <v>180</v>
      </c>
      <c r="J13" s="9" t="s">
        <v>4</v>
      </c>
    </row>
    <row r="14" spans="1:10" ht="15" customHeight="1" x14ac:dyDescent="0.3">
      <c r="A14" s="2">
        <f>A11+1</f>
        <v>5</v>
      </c>
      <c r="B14" s="7">
        <v>9788327106766</v>
      </c>
      <c r="C14" s="49" t="s">
        <v>210</v>
      </c>
      <c r="D14" s="6">
        <v>64.900000000000006</v>
      </c>
      <c r="E14" s="12">
        <f t="shared" ref="E14:E21" si="2">ROUND(D14*0.65,2)</f>
        <v>42.19</v>
      </c>
      <c r="F14" s="3">
        <f ca="1">IFERROR(__xludf.DUMMYFUNCTION("VLOOKUP($B116,IMPORTRANGE(""https://docs.google.com/spreadsheets/d/12kJeOb3DLWWg8o7sW1QICZ8qsKlcv9OfYjohcMhA61g/edit#gid=1661307685=share"", ""PUBLICAT!A:K""),5,0)"),5)</f>
        <v>5</v>
      </c>
      <c r="G14" s="19"/>
      <c r="H14" s="84">
        <f t="shared" ref="H14:H21" si="3">G14*D14</f>
        <v>0</v>
      </c>
      <c r="I14" s="5" t="s">
        <v>5</v>
      </c>
      <c r="J14" s="4" t="str">
        <f ca="1">IFERROR(__xludf.DUMMYFUNCTION("VLOOKUP($B116,IMPORTRANGE(""https://docs.google.com/spreadsheets/d/1MKJD7C_CKp2_LboH2OnBUiaFdTdVMOriGBVcGuRPO9Y/edit#gid=0=share"", ""Baza!A:K""),7,0)"),"000831")</f>
        <v>000831</v>
      </c>
    </row>
    <row r="15" spans="1:10" ht="14.4" x14ac:dyDescent="0.3">
      <c r="A15" s="2">
        <f t="shared" ref="A15:A21" si="4">A14+1</f>
        <v>6</v>
      </c>
      <c r="B15" s="7">
        <v>9788327106872</v>
      </c>
      <c r="C15" s="14" t="s">
        <v>15</v>
      </c>
      <c r="D15" s="6">
        <v>39.9</v>
      </c>
      <c r="E15" s="12">
        <f t="shared" si="2"/>
        <v>25.94</v>
      </c>
      <c r="F15" s="3">
        <f ca="1">IFERROR(__xludf.DUMMYFUNCTION("VLOOKUP($B21,IMPORTRANGE(""https://docs.google.com/spreadsheets/d/12kJeOb3DLWWg8o7sW1QICZ8qsKlcv9OfYjohcMhA61g/edit#gid=1661307685=share"", ""PUBLICAT!A:K""),5,0)"),5)</f>
        <v>5</v>
      </c>
      <c r="G15" s="19"/>
      <c r="H15" s="84">
        <f t="shared" si="3"/>
        <v>0</v>
      </c>
      <c r="I15" s="5" t="s">
        <v>5</v>
      </c>
      <c r="J15" s="4" t="str">
        <f ca="1">IFERROR(__xludf.DUMMYFUNCTION("VLOOKUP($B21,IMPORTRANGE(""https://docs.google.com/spreadsheets/d/1MKJD7C_CKp2_LboH2OnBUiaFdTdVMOriGBVcGuRPO9Y/edit#gid=0=share"", ""Baza!A:K""),7,0)"),"002239")</f>
        <v>002239</v>
      </c>
    </row>
    <row r="16" spans="1:10" ht="15" customHeight="1" x14ac:dyDescent="0.3">
      <c r="A16" s="2">
        <f t="shared" si="4"/>
        <v>7</v>
      </c>
      <c r="B16" s="7">
        <v>9788327102256</v>
      </c>
      <c r="C16" s="15" t="s">
        <v>91</v>
      </c>
      <c r="D16" s="6">
        <v>19.989999999999998</v>
      </c>
      <c r="E16" s="12">
        <f t="shared" si="2"/>
        <v>12.99</v>
      </c>
      <c r="F16" s="3">
        <f ca="1">IFERROR(__xludf.DUMMYFUNCTION("VLOOKUP($B119,IMPORTRANGE(""https://docs.google.com/spreadsheets/d/12kJeOb3DLWWg8o7sW1QICZ8qsKlcv9OfYjohcMhA61g/edit#gid=1661307685=share"", ""PUBLICAT!A:K""),5,0)"),5)</f>
        <v>5</v>
      </c>
      <c r="G16" s="19"/>
      <c r="H16" s="84">
        <f t="shared" si="3"/>
        <v>0</v>
      </c>
      <c r="I16" s="5" t="s">
        <v>5</v>
      </c>
      <c r="J16" s="4" t="str">
        <f ca="1">IFERROR(__xludf.DUMMYFUNCTION("VLOOKUP($B119,IMPORTRANGE(""https://docs.google.com/spreadsheets/d/1MKJD7C_CKp2_LboH2OnBUiaFdTdVMOriGBVcGuRPO9Y/edit#gid=0=share"", ""Baza!A:K""),7,0)"),"000834")</f>
        <v>000834</v>
      </c>
    </row>
    <row r="17" spans="1:10" ht="15" customHeight="1" x14ac:dyDescent="0.3">
      <c r="A17" s="2">
        <f t="shared" si="4"/>
        <v>8</v>
      </c>
      <c r="B17" s="7">
        <v>9788327105554</v>
      </c>
      <c r="C17" s="15" t="s">
        <v>92</v>
      </c>
      <c r="D17" s="6">
        <v>34.9</v>
      </c>
      <c r="E17" s="12">
        <f t="shared" si="2"/>
        <v>22.69</v>
      </c>
      <c r="F17" s="3">
        <f ca="1">IFERROR(__xludf.DUMMYFUNCTION("VLOOKUP($B120,IMPORTRANGE(""https://docs.google.com/spreadsheets/d/12kJeOb3DLWWg8o7sW1QICZ8qsKlcv9OfYjohcMhA61g/edit#gid=1661307685=share"", ""PUBLICAT!A:K""),5,0)"),5)</f>
        <v>5</v>
      </c>
      <c r="G17" s="19"/>
      <c r="H17" s="84">
        <f t="shared" si="3"/>
        <v>0</v>
      </c>
      <c r="I17" s="5" t="s">
        <v>5</v>
      </c>
      <c r="J17" s="4" t="str">
        <f ca="1">IFERROR(__xludf.DUMMYFUNCTION("VLOOKUP($B120,IMPORTRANGE(""https://docs.google.com/spreadsheets/d/1MKJD7C_CKp2_LboH2OnBUiaFdTdVMOriGBVcGuRPO9Y/edit#gid=0=share"", ""Baza!A:K""),7,0)"),"000836")</f>
        <v>000836</v>
      </c>
    </row>
    <row r="18" spans="1:10" ht="15" customHeight="1" x14ac:dyDescent="0.3">
      <c r="A18" s="2">
        <f t="shared" si="4"/>
        <v>9</v>
      </c>
      <c r="B18" s="7">
        <v>9788327106292</v>
      </c>
      <c r="C18" s="15" t="s">
        <v>93</v>
      </c>
      <c r="D18" s="6">
        <v>59.9</v>
      </c>
      <c r="E18" s="12">
        <f t="shared" si="2"/>
        <v>38.94</v>
      </c>
      <c r="F18" s="3">
        <f ca="1">IFERROR(__xludf.DUMMYFUNCTION("VLOOKUP($B121,IMPORTRANGE(""https://docs.google.com/spreadsheets/d/12kJeOb3DLWWg8o7sW1QICZ8qsKlcv9OfYjohcMhA61g/edit#gid=1661307685=share"", ""PUBLICAT!A:K""),5,0)"),5)</f>
        <v>5</v>
      </c>
      <c r="G18" s="19"/>
      <c r="H18" s="84">
        <f t="shared" si="3"/>
        <v>0</v>
      </c>
      <c r="I18" s="5" t="s">
        <v>5</v>
      </c>
      <c r="J18" s="4" t="str">
        <f ca="1">IFERROR(__xludf.DUMMYFUNCTION("VLOOKUP($B121,IMPORTRANGE(""https://docs.google.com/spreadsheets/d/1MKJD7C_CKp2_LboH2OnBUiaFdTdVMOriGBVcGuRPO9Y/edit#gid=0=share"", ""Baza!A:K""),7,0)"),"000939")</f>
        <v>000939</v>
      </c>
    </row>
    <row r="19" spans="1:10" ht="15" customHeight="1" x14ac:dyDescent="0.3">
      <c r="A19" s="2">
        <f t="shared" si="4"/>
        <v>10</v>
      </c>
      <c r="B19" s="7">
        <v>9788327102249</v>
      </c>
      <c r="C19" s="15" t="s">
        <v>94</v>
      </c>
      <c r="D19" s="6">
        <v>19.989999999999998</v>
      </c>
      <c r="E19" s="12">
        <f t="shared" si="2"/>
        <v>12.99</v>
      </c>
      <c r="F19" s="3">
        <f ca="1">IFERROR(__xludf.DUMMYFUNCTION("VLOOKUP($B123,IMPORTRANGE(""https://docs.google.com/spreadsheets/d/12kJeOb3DLWWg8o7sW1QICZ8qsKlcv9OfYjohcMhA61g/edit#gid=1661307685=share"", ""PUBLICAT!A:K""),5,0)"),5)</f>
        <v>5</v>
      </c>
      <c r="G19" s="19"/>
      <c r="H19" s="84">
        <f t="shared" si="3"/>
        <v>0</v>
      </c>
      <c r="I19" s="5" t="s">
        <v>5</v>
      </c>
      <c r="J19" s="4" t="str">
        <f ca="1">IFERROR(__xludf.DUMMYFUNCTION("VLOOKUP($B123,IMPORTRANGE(""https://docs.google.com/spreadsheets/d/1MKJD7C_CKp2_LboH2OnBUiaFdTdVMOriGBVcGuRPO9Y/edit#gid=0=share"", ""Baza!A:K""),7,0)"),"001524")</f>
        <v>001524</v>
      </c>
    </row>
    <row r="20" spans="1:10" ht="15" customHeight="1" x14ac:dyDescent="0.3">
      <c r="A20" s="2">
        <f t="shared" si="4"/>
        <v>11</v>
      </c>
      <c r="B20" s="7">
        <v>9788327106919</v>
      </c>
      <c r="C20" s="15" t="s">
        <v>95</v>
      </c>
      <c r="D20" s="6">
        <v>34.9</v>
      </c>
      <c r="E20" s="12">
        <f t="shared" si="2"/>
        <v>22.69</v>
      </c>
      <c r="F20" s="3">
        <f ca="1">IFERROR(__xludf.DUMMYFUNCTION("VLOOKUP($B124,IMPORTRANGE(""https://docs.google.com/spreadsheets/d/12kJeOb3DLWWg8o7sW1QICZ8qsKlcv9OfYjohcMhA61g/edit#gid=1661307685=share"", ""PUBLICAT!A:K""),5,0)"),5)</f>
        <v>5</v>
      </c>
      <c r="G20" s="19"/>
      <c r="H20" s="84">
        <f t="shared" si="3"/>
        <v>0</v>
      </c>
      <c r="I20" s="5" t="s">
        <v>5</v>
      </c>
      <c r="J20" s="4" t="str">
        <f ca="1">IFERROR(__xludf.DUMMYFUNCTION("VLOOKUP($B124,IMPORTRANGE(""https://docs.google.com/spreadsheets/d/1MKJD7C_CKp2_LboH2OnBUiaFdTdVMOriGBVcGuRPO9Y/edit#gid=0=share"", ""Baza!A:K""),7,0)"),"000838")</f>
        <v>000838</v>
      </c>
    </row>
    <row r="21" spans="1:10" ht="15" customHeight="1" x14ac:dyDescent="0.3">
      <c r="A21" s="2">
        <f t="shared" si="4"/>
        <v>12</v>
      </c>
      <c r="B21" s="21">
        <v>9788327102232</v>
      </c>
      <c r="C21" s="27" t="s">
        <v>96</v>
      </c>
      <c r="D21" s="23">
        <v>19.989999999999998</v>
      </c>
      <c r="E21" s="12">
        <f t="shared" si="2"/>
        <v>12.99</v>
      </c>
      <c r="F21" s="24">
        <f ca="1">IFERROR(__xludf.DUMMYFUNCTION("VLOOKUP($B125,IMPORTRANGE(""https://docs.google.com/spreadsheets/d/12kJeOb3DLWWg8o7sW1QICZ8qsKlcv9OfYjohcMhA61g/edit#gid=1661307685=share"", ""PUBLICAT!A:K""),5,0)"),5)</f>
        <v>5</v>
      </c>
      <c r="G21" s="25"/>
      <c r="H21" s="84">
        <f t="shared" si="3"/>
        <v>0</v>
      </c>
      <c r="I21" s="5" t="s">
        <v>5</v>
      </c>
      <c r="J21" s="113" t="str">
        <f ca="1">IFERROR(__xludf.DUMMYFUNCTION("VLOOKUP($B125,IMPORTRANGE(""https://docs.google.com/spreadsheets/d/1MKJD7C_CKp2_LboH2OnBUiaFdTdVMOriGBVcGuRPO9Y/edit#gid=0=share"", ""Baza!A:K""),7,0)"),"001523")</f>
        <v>001523</v>
      </c>
    </row>
    <row r="22" spans="1:10" s="70" customFormat="1" ht="132.6" customHeight="1" x14ac:dyDescent="0.3">
      <c r="A22" s="69" t="s">
        <v>323</v>
      </c>
      <c r="B22" s="69" t="s">
        <v>323</v>
      </c>
      <c r="C22" s="69" t="s">
        <v>323</v>
      </c>
      <c r="D22" s="69" t="s">
        <v>323</v>
      </c>
      <c r="E22" s="69" t="s">
        <v>323</v>
      </c>
      <c r="F22" s="69" t="s">
        <v>323</v>
      </c>
      <c r="G22" s="69" t="s">
        <v>323</v>
      </c>
      <c r="H22" s="83" t="s">
        <v>323</v>
      </c>
      <c r="I22" s="69" t="s">
        <v>323</v>
      </c>
      <c r="J22" s="69" t="s">
        <v>323</v>
      </c>
    </row>
    <row r="23" spans="1:10" ht="28.2" customHeight="1" x14ac:dyDescent="0.3">
      <c r="A23" s="1" t="s">
        <v>0</v>
      </c>
      <c r="B23" s="1" t="s">
        <v>1</v>
      </c>
      <c r="C23" s="28" t="s">
        <v>2</v>
      </c>
      <c r="D23" s="10" t="s">
        <v>163</v>
      </c>
      <c r="E23" s="11" t="s">
        <v>164</v>
      </c>
      <c r="F23" s="8" t="s">
        <v>3</v>
      </c>
      <c r="G23" s="17" t="s">
        <v>165</v>
      </c>
      <c r="H23" s="17" t="s">
        <v>166</v>
      </c>
      <c r="I23" s="17" t="s">
        <v>180</v>
      </c>
      <c r="J23" s="9" t="s">
        <v>4</v>
      </c>
    </row>
    <row r="24" spans="1:10" ht="15" customHeight="1" x14ac:dyDescent="0.3">
      <c r="A24" s="2">
        <f>A21+1</f>
        <v>13</v>
      </c>
      <c r="B24" s="7">
        <v>9788327106261</v>
      </c>
      <c r="C24" s="15" t="s">
        <v>85</v>
      </c>
      <c r="D24" s="6">
        <v>49.9</v>
      </c>
      <c r="E24" s="12">
        <f t="shared" ref="E24:E29" si="5">ROUND(D24*0.65,2)</f>
        <v>32.44</v>
      </c>
      <c r="F24" s="3">
        <f ca="1">IFERROR(__xludf.DUMMYFUNCTION("VLOOKUP($B105,IMPORTRANGE(""https://docs.google.com/spreadsheets/d/12kJeOb3DLWWg8o7sW1QICZ8qsKlcv9OfYjohcMhA61g/edit#gid=1661307685=share"", ""PUBLICAT!A:K""),5,0)"),5)</f>
        <v>5</v>
      </c>
      <c r="G24" s="19"/>
      <c r="H24" s="84">
        <f t="shared" ref="H24:H29" si="6">G24*D24</f>
        <v>0</v>
      </c>
      <c r="I24" s="5" t="s">
        <v>5</v>
      </c>
      <c r="J24" s="4" t="str">
        <f ca="1">IFERROR(__xludf.DUMMYFUNCTION("VLOOKUP($B105,IMPORTRANGE(""https://docs.google.com/spreadsheets/d/1MKJD7C_CKp2_LboH2OnBUiaFdTdVMOriGBVcGuRPO9Y/edit#gid=0=share"", ""Baza!A:K""),7,0)"),"000784")</f>
        <v>000784</v>
      </c>
    </row>
    <row r="25" spans="1:10" ht="15" customHeight="1" x14ac:dyDescent="0.3">
      <c r="A25" s="2">
        <f>A24+1</f>
        <v>14</v>
      </c>
      <c r="B25" s="7">
        <v>9788327106865</v>
      </c>
      <c r="C25" s="15" t="s">
        <v>86</v>
      </c>
      <c r="D25" s="6">
        <v>49.9</v>
      </c>
      <c r="E25" s="12">
        <f t="shared" si="5"/>
        <v>32.44</v>
      </c>
      <c r="F25" s="3">
        <f ca="1">IFERROR(__xludf.DUMMYFUNCTION("VLOOKUP($B106,IMPORTRANGE(""https://docs.google.com/spreadsheets/d/12kJeOb3DLWWg8o7sW1QICZ8qsKlcv9OfYjohcMhA61g/edit#gid=1661307685=share"", ""PUBLICAT!A:K""),5,0)"),5)</f>
        <v>5</v>
      </c>
      <c r="G25" s="19"/>
      <c r="H25" s="84">
        <f t="shared" si="6"/>
        <v>0</v>
      </c>
      <c r="I25" s="5" t="s">
        <v>5</v>
      </c>
      <c r="J25" s="4" t="str">
        <f ca="1">IFERROR(__xludf.DUMMYFUNCTION("VLOOKUP($B106,IMPORTRANGE(""https://docs.google.com/spreadsheets/d/1MKJD7C_CKp2_LboH2OnBUiaFdTdVMOriGBVcGuRPO9Y/edit#gid=0=share"", ""Baza!A:K""),7,0)"),"000785")</f>
        <v>000785</v>
      </c>
    </row>
    <row r="26" spans="1:10" ht="15" customHeight="1" x14ac:dyDescent="0.3">
      <c r="A26" s="2">
        <f t="shared" ref="A26:A29" si="7">A25+1</f>
        <v>15</v>
      </c>
      <c r="B26" s="7">
        <v>9788327107305</v>
      </c>
      <c r="C26" s="15" t="s">
        <v>87</v>
      </c>
      <c r="D26" s="6">
        <v>59.9</v>
      </c>
      <c r="E26" s="12">
        <f t="shared" si="5"/>
        <v>38.94</v>
      </c>
      <c r="F26" s="3">
        <f ca="1">IFERROR(__xludf.DUMMYFUNCTION("VLOOKUP($B107,IMPORTRANGE(""https://docs.google.com/spreadsheets/d/12kJeOb3DLWWg8o7sW1QICZ8qsKlcv9OfYjohcMhA61g/edit#gid=1661307685=share"", ""PUBLICAT!A:K""),5,0)"),5)</f>
        <v>5</v>
      </c>
      <c r="G26" s="19"/>
      <c r="H26" s="84">
        <f t="shared" si="6"/>
        <v>0</v>
      </c>
      <c r="I26" s="5" t="s">
        <v>5</v>
      </c>
      <c r="J26" s="4" t="str">
        <f ca="1">IFERROR(__xludf.DUMMYFUNCTION("VLOOKUP($B107,IMPORTRANGE(""https://docs.google.com/spreadsheets/d/1MKJD7C_CKp2_LboH2OnBUiaFdTdVMOriGBVcGuRPO9Y/edit#gid=0=share"", ""Baza!A:K""),7,0)"),"001783")</f>
        <v>001783</v>
      </c>
    </row>
    <row r="27" spans="1:10" ht="15" customHeight="1" x14ac:dyDescent="0.3">
      <c r="A27" s="30">
        <f t="shared" si="7"/>
        <v>16</v>
      </c>
      <c r="B27" s="7">
        <v>9788327106858</v>
      </c>
      <c r="C27" s="15" t="s">
        <v>88</v>
      </c>
      <c r="D27" s="6">
        <v>49.9</v>
      </c>
      <c r="E27" s="12">
        <f t="shared" si="5"/>
        <v>32.44</v>
      </c>
      <c r="F27" s="3">
        <f ca="1">IFERROR(__xludf.DUMMYFUNCTION("VLOOKUP($B109,IMPORTRANGE(""https://docs.google.com/spreadsheets/d/12kJeOb3DLWWg8o7sW1QICZ8qsKlcv9OfYjohcMhA61g/edit#gid=1661307685=share"", ""PUBLICAT!A:K""),5,0)"),5)</f>
        <v>5</v>
      </c>
      <c r="G27" s="19"/>
      <c r="H27" s="84">
        <f t="shared" si="6"/>
        <v>0</v>
      </c>
      <c r="I27" s="5" t="s">
        <v>5</v>
      </c>
      <c r="J27" s="4" t="str">
        <f ca="1">IFERROR(__xludf.DUMMYFUNCTION("VLOOKUP($B109,IMPORTRANGE(""https://docs.google.com/spreadsheets/d/1MKJD7C_CKp2_LboH2OnBUiaFdTdVMOriGBVcGuRPO9Y/edit#gid=0=share"", ""Baza!A:K""),7,0)"),"000787")</f>
        <v>000787</v>
      </c>
    </row>
    <row r="28" spans="1:10" ht="15" customHeight="1" x14ac:dyDescent="0.3">
      <c r="A28" s="30">
        <f t="shared" si="7"/>
        <v>17</v>
      </c>
      <c r="B28" s="7">
        <v>9788327106278</v>
      </c>
      <c r="C28" s="15" t="s">
        <v>89</v>
      </c>
      <c r="D28" s="6">
        <v>49.9</v>
      </c>
      <c r="E28" s="12">
        <f t="shared" si="5"/>
        <v>32.44</v>
      </c>
      <c r="F28" s="3">
        <f ca="1">IFERROR(__xludf.DUMMYFUNCTION("VLOOKUP($B112,IMPORTRANGE(""https://docs.google.com/spreadsheets/d/12kJeOb3DLWWg8o7sW1QICZ8qsKlcv9OfYjohcMhA61g/edit#gid=1661307685=share"", ""PUBLICAT!A:K""),5,0)"),5)</f>
        <v>5</v>
      </c>
      <c r="G28" s="19"/>
      <c r="H28" s="84">
        <f t="shared" si="6"/>
        <v>0</v>
      </c>
      <c r="I28" s="5" t="s">
        <v>5</v>
      </c>
      <c r="J28" s="4" t="str">
        <f ca="1">IFERROR(__xludf.DUMMYFUNCTION("VLOOKUP($B112,IMPORTRANGE(""https://docs.google.com/spreadsheets/d/1MKJD7C_CKp2_LboH2OnBUiaFdTdVMOriGBVcGuRPO9Y/edit#gid=0=share"", ""Baza!A:K""),7,0)"),"001520")</f>
        <v>001520</v>
      </c>
    </row>
    <row r="29" spans="1:10" ht="15" customHeight="1" x14ac:dyDescent="0.3">
      <c r="A29" s="34">
        <f t="shared" si="7"/>
        <v>18</v>
      </c>
      <c r="B29" s="21">
        <v>9788327106483</v>
      </c>
      <c r="C29" s="27" t="s">
        <v>90</v>
      </c>
      <c r="D29" s="23">
        <v>39.9</v>
      </c>
      <c r="E29" s="12">
        <f t="shared" si="5"/>
        <v>25.94</v>
      </c>
      <c r="F29" s="24">
        <f ca="1">IFERROR(__xludf.DUMMYFUNCTION("VLOOKUP($B114,IMPORTRANGE(""https://docs.google.com/spreadsheets/d/12kJeOb3DLWWg8o7sW1QICZ8qsKlcv9OfYjohcMhA61g/edit#gid=1661307685=share"", ""PUBLICAT!A:K""),5,0)"),5)</f>
        <v>5</v>
      </c>
      <c r="G29" s="25"/>
      <c r="H29" s="84">
        <f t="shared" si="6"/>
        <v>0</v>
      </c>
      <c r="I29" s="26" t="s">
        <v>5</v>
      </c>
      <c r="J29" s="113" t="str">
        <f ca="1">IFERROR(__xludf.DUMMYFUNCTION("VLOOKUP($B114,IMPORTRANGE(""https://docs.google.com/spreadsheets/d/1MKJD7C_CKp2_LboH2OnBUiaFdTdVMOriGBVcGuRPO9Y/edit#gid=0=share"", ""Baza!A:K""),7,0)"),"000890")</f>
        <v>000890</v>
      </c>
    </row>
    <row r="30" spans="1:10" s="68" customFormat="1" ht="132.6" customHeight="1" x14ac:dyDescent="0.3">
      <c r="A30" s="67" t="s">
        <v>323</v>
      </c>
      <c r="B30" s="67" t="s">
        <v>323</v>
      </c>
      <c r="C30" s="67" t="s">
        <v>323</v>
      </c>
      <c r="D30" s="67" t="s">
        <v>323</v>
      </c>
      <c r="E30" s="67" t="s">
        <v>323</v>
      </c>
      <c r="F30" s="67" t="s">
        <v>323</v>
      </c>
      <c r="G30" s="67" t="s">
        <v>323</v>
      </c>
      <c r="H30" s="83" t="s">
        <v>323</v>
      </c>
      <c r="I30" s="67" t="s">
        <v>323</v>
      </c>
      <c r="J30" s="67" t="s">
        <v>323</v>
      </c>
    </row>
    <row r="31" spans="1:10" ht="28.2" customHeight="1" x14ac:dyDescent="0.3">
      <c r="A31" s="91" t="s">
        <v>0</v>
      </c>
      <c r="B31" s="91" t="s">
        <v>1</v>
      </c>
      <c r="C31" s="92" t="s">
        <v>2</v>
      </c>
      <c r="D31" s="11" t="s">
        <v>163</v>
      </c>
      <c r="E31" s="11" t="s">
        <v>164</v>
      </c>
      <c r="F31" s="8" t="s">
        <v>3</v>
      </c>
      <c r="G31" s="17" t="s">
        <v>165</v>
      </c>
      <c r="H31" s="17" t="s">
        <v>166</v>
      </c>
      <c r="I31" s="17" t="s">
        <v>180</v>
      </c>
      <c r="J31" s="9" t="s">
        <v>4</v>
      </c>
    </row>
    <row r="32" spans="1:10" ht="15" customHeight="1" x14ac:dyDescent="0.3">
      <c r="A32" s="30">
        <f>A29+1</f>
        <v>19</v>
      </c>
      <c r="B32" s="31">
        <v>9788327106230</v>
      </c>
      <c r="C32" s="32" t="s">
        <v>59</v>
      </c>
      <c r="D32" s="6">
        <v>44.9</v>
      </c>
      <c r="E32" s="12">
        <f t="shared" ref="E32:E37" si="8">ROUND(D32*0.65,2)</f>
        <v>29.19</v>
      </c>
      <c r="F32" s="3">
        <f ca="1">IFERROR(__xludf.DUMMYFUNCTION("VLOOKUP($B113,IMPORTRANGE(""https://docs.google.com/spreadsheets/d/12kJeOb3DLWWg8o7sW1QICZ8qsKlcv9OfYjohcMhA61g/edit#gid=1661307685=share"", ""PUBLICAT!A:K""),5,0)"),5)</f>
        <v>5</v>
      </c>
      <c r="G32" s="19"/>
      <c r="H32" s="84">
        <f t="shared" ref="H32:H37" si="9">G32*D32</f>
        <v>0</v>
      </c>
      <c r="I32" s="5" t="s">
        <v>5</v>
      </c>
      <c r="J32" s="114" t="s">
        <v>173</v>
      </c>
    </row>
    <row r="33" spans="1:10" ht="15" customHeight="1" x14ac:dyDescent="0.3">
      <c r="A33" s="30">
        <f>A32+1</f>
        <v>20</v>
      </c>
      <c r="B33" s="31">
        <v>9788327106223</v>
      </c>
      <c r="C33" s="32" t="s">
        <v>124</v>
      </c>
      <c r="D33" s="6">
        <v>44.9</v>
      </c>
      <c r="E33" s="12">
        <f t="shared" si="8"/>
        <v>29.19</v>
      </c>
      <c r="F33" s="3">
        <f ca="1">IFERROR(__xludf.DUMMYFUNCTION("VLOOKUP($B113,IMPORTRANGE(""https://docs.google.com/spreadsheets/d/12kJeOb3DLWWg8o7sW1QICZ8qsKlcv9OfYjohcMhA61g/edit#gid=1661307685=share"", ""PUBLICAT!A:K""),5,0)"),5)</f>
        <v>5</v>
      </c>
      <c r="G33" s="19"/>
      <c r="H33" s="84">
        <f t="shared" si="9"/>
        <v>0</v>
      </c>
      <c r="I33" s="5" t="s">
        <v>5</v>
      </c>
      <c r="J33" s="114" t="s">
        <v>177</v>
      </c>
    </row>
    <row r="34" spans="1:10" ht="15" customHeight="1" x14ac:dyDescent="0.3">
      <c r="A34" s="30">
        <f t="shared" ref="A34:A37" si="10">A33+1</f>
        <v>21</v>
      </c>
      <c r="B34" s="31">
        <v>9788327105820</v>
      </c>
      <c r="C34" s="32" t="s">
        <v>69</v>
      </c>
      <c r="D34" s="6">
        <v>44.9</v>
      </c>
      <c r="E34" s="12">
        <f t="shared" si="8"/>
        <v>29.19</v>
      </c>
      <c r="F34" s="3">
        <f ca="1">IFERROR(__xludf.DUMMYFUNCTION("VLOOKUP($B113,IMPORTRANGE(""https://docs.google.com/spreadsheets/d/12kJeOb3DLWWg8o7sW1QICZ8qsKlcv9OfYjohcMhA61g/edit#gid=1661307685=share"", ""PUBLICAT!A:K""),5,0)"),5)</f>
        <v>5</v>
      </c>
      <c r="G34" s="19"/>
      <c r="H34" s="84">
        <f t="shared" si="9"/>
        <v>0</v>
      </c>
      <c r="I34" s="5" t="s">
        <v>5</v>
      </c>
      <c r="J34" s="114" t="s">
        <v>174</v>
      </c>
    </row>
    <row r="35" spans="1:10" ht="15" customHeight="1" x14ac:dyDescent="0.3">
      <c r="A35" s="30">
        <f t="shared" si="10"/>
        <v>22</v>
      </c>
      <c r="B35" s="31">
        <v>9788327106674</v>
      </c>
      <c r="C35" s="33" t="s">
        <v>10</v>
      </c>
      <c r="D35" s="6">
        <v>44.9</v>
      </c>
      <c r="E35" s="12">
        <f t="shared" si="8"/>
        <v>29.19</v>
      </c>
      <c r="F35" s="3">
        <f ca="1">IFERROR(__xludf.DUMMYFUNCTION("VLOOKUP($B113,IMPORTRANGE(""https://docs.google.com/spreadsheets/d/12kJeOb3DLWWg8o7sW1QICZ8qsKlcv9OfYjohcMhA61g/edit#gid=1661307685=share"", ""PUBLICAT!A:K""),5,0)"),5)</f>
        <v>5</v>
      </c>
      <c r="G35" s="19"/>
      <c r="H35" s="84">
        <f t="shared" si="9"/>
        <v>0</v>
      </c>
      <c r="I35" s="5" t="s">
        <v>5</v>
      </c>
      <c r="J35" s="114" t="s">
        <v>172</v>
      </c>
    </row>
    <row r="36" spans="1:10" ht="15" customHeight="1" x14ac:dyDescent="0.3">
      <c r="A36" s="30">
        <f t="shared" si="10"/>
        <v>23</v>
      </c>
      <c r="B36" s="31">
        <v>9788327106216</v>
      </c>
      <c r="C36" s="32" t="s">
        <v>73</v>
      </c>
      <c r="D36" s="6">
        <v>44.9</v>
      </c>
      <c r="E36" s="12">
        <f t="shared" si="8"/>
        <v>29.19</v>
      </c>
      <c r="F36" s="3">
        <f ca="1">IFERROR(__xludf.DUMMYFUNCTION("VLOOKUP($B113,IMPORTRANGE(""https://docs.google.com/spreadsheets/d/12kJeOb3DLWWg8o7sW1QICZ8qsKlcv9OfYjohcMhA61g/edit#gid=1661307685=share"", ""PUBLICAT!A:K""),5,0)"),5)</f>
        <v>5</v>
      </c>
      <c r="G36" s="19"/>
      <c r="H36" s="84">
        <f t="shared" si="9"/>
        <v>0</v>
      </c>
      <c r="I36" s="5" t="s">
        <v>5</v>
      </c>
      <c r="J36" s="114" t="s">
        <v>175</v>
      </c>
    </row>
    <row r="37" spans="1:10" ht="15" customHeight="1" x14ac:dyDescent="0.3">
      <c r="A37" s="30">
        <f t="shared" si="10"/>
        <v>24</v>
      </c>
      <c r="B37" s="31">
        <v>9788327107091</v>
      </c>
      <c r="C37" s="32" t="s">
        <v>78</v>
      </c>
      <c r="D37" s="6">
        <v>44.9</v>
      </c>
      <c r="E37" s="12">
        <f t="shared" si="8"/>
        <v>29.19</v>
      </c>
      <c r="F37" s="3">
        <f ca="1">IFERROR(__xludf.DUMMYFUNCTION("VLOOKUP($B113,IMPORTRANGE(""https://docs.google.com/spreadsheets/d/12kJeOb3DLWWg8o7sW1QICZ8qsKlcv9OfYjohcMhA61g/edit#gid=1661307685=share"", ""PUBLICAT!A:K""),5,0)"),5)</f>
        <v>5</v>
      </c>
      <c r="G37" s="19"/>
      <c r="H37" s="84">
        <f t="shared" si="9"/>
        <v>0</v>
      </c>
      <c r="I37" s="5" t="s">
        <v>5</v>
      </c>
      <c r="J37" s="114" t="s">
        <v>176</v>
      </c>
    </row>
    <row r="38" spans="1:10" ht="132.6" customHeight="1" x14ac:dyDescent="0.3">
      <c r="A38" s="93" t="s">
        <v>323</v>
      </c>
      <c r="B38" s="93" t="s">
        <v>323</v>
      </c>
      <c r="C38" s="93" t="s">
        <v>323</v>
      </c>
      <c r="D38" s="93" t="s">
        <v>323</v>
      </c>
      <c r="E38" s="93" t="s">
        <v>323</v>
      </c>
      <c r="F38" s="93" t="s">
        <v>323</v>
      </c>
      <c r="G38" s="93" t="s">
        <v>323</v>
      </c>
      <c r="H38" s="94" t="s">
        <v>323</v>
      </c>
      <c r="I38" s="93" t="s">
        <v>323</v>
      </c>
      <c r="J38" s="93" t="s">
        <v>323</v>
      </c>
    </row>
    <row r="39" spans="1:10" ht="28.2" customHeight="1" x14ac:dyDescent="0.3">
      <c r="A39" s="35" t="s">
        <v>0</v>
      </c>
      <c r="B39" s="35" t="s">
        <v>1</v>
      </c>
      <c r="C39" s="36" t="s">
        <v>2</v>
      </c>
      <c r="D39" s="37" t="s">
        <v>163</v>
      </c>
      <c r="E39" s="37" t="s">
        <v>164</v>
      </c>
      <c r="F39" s="38" t="s">
        <v>3</v>
      </c>
      <c r="G39" s="39" t="s">
        <v>165</v>
      </c>
      <c r="H39" s="17" t="s">
        <v>166</v>
      </c>
      <c r="I39" s="17" t="s">
        <v>180</v>
      </c>
      <c r="J39" s="40" t="s">
        <v>4</v>
      </c>
    </row>
    <row r="40" spans="1:10" ht="15" customHeight="1" x14ac:dyDescent="0.3">
      <c r="A40" s="41">
        <f>A37+1</f>
        <v>25</v>
      </c>
      <c r="B40" s="42">
        <v>9788327106681</v>
      </c>
      <c r="C40" s="43" t="s">
        <v>143</v>
      </c>
      <c r="D40" s="6">
        <v>49.9</v>
      </c>
      <c r="E40" s="44">
        <f t="shared" ref="E40:E44" si="11">ROUND(D40*0.65,2)</f>
        <v>32.44</v>
      </c>
      <c r="F40" s="45">
        <f ca="1">IFERROR(__xludf.DUMMYFUNCTION("VLOOKUP($B175,IMPORTRANGE(""https://docs.google.com/spreadsheets/d/12kJeOb3DLWWg8o7sW1QICZ8qsKlcv9OfYjohcMhA61g/edit#gid=1661307685=share"", ""PUBLICAT!A:K""),5,0)"),5)</f>
        <v>5</v>
      </c>
      <c r="G40" s="46"/>
      <c r="H40" s="84">
        <f t="shared" ref="H40:H44" si="12">G40*D40</f>
        <v>0</v>
      </c>
      <c r="I40" s="47" t="s">
        <v>5</v>
      </c>
      <c r="J40" s="115" t="str">
        <f ca="1">IFERROR(__xludf.DUMMYFUNCTION("VLOOKUP($B175,IMPORTRANGE(""https://docs.google.com/spreadsheets/d/1MKJD7C_CKp2_LboH2OnBUiaFdTdVMOriGBVcGuRPO9Y/edit#gid=0=share"", ""Baza!A:K""),7,0)"),"002163")</f>
        <v>002163</v>
      </c>
    </row>
    <row r="41" spans="1:10" ht="15" customHeight="1" x14ac:dyDescent="0.3">
      <c r="A41" s="41">
        <f>A40+1</f>
        <v>26</v>
      </c>
      <c r="B41" s="42">
        <v>9788327106810</v>
      </c>
      <c r="C41" s="48" t="s">
        <v>144</v>
      </c>
      <c r="D41" s="6">
        <v>49.9</v>
      </c>
      <c r="E41" s="44">
        <f t="shared" si="11"/>
        <v>32.44</v>
      </c>
      <c r="F41" s="45">
        <f ca="1">IFERROR(__xludf.DUMMYFUNCTION("VLOOKUP($B176,IMPORTRANGE(""https://docs.google.com/spreadsheets/d/12kJeOb3DLWWg8o7sW1QICZ8qsKlcv9OfYjohcMhA61g/edit#gid=1661307685=share"", ""PUBLICAT!A:K""),5,0)"),5)</f>
        <v>5</v>
      </c>
      <c r="G41" s="46"/>
      <c r="H41" s="84">
        <f t="shared" si="12"/>
        <v>0</v>
      </c>
      <c r="I41" s="47" t="s">
        <v>5</v>
      </c>
      <c r="J41" s="115" t="str">
        <f ca="1">IFERROR(__xludf.DUMMYFUNCTION("VLOOKUP($B176,IMPORTRANGE(""https://docs.google.com/spreadsheets/d/1MKJD7C_CKp2_LboH2OnBUiaFdTdVMOriGBVcGuRPO9Y/edit#gid=0=share"", ""Baza!A:K""),7,0)"),"000931")</f>
        <v>000931</v>
      </c>
    </row>
    <row r="42" spans="1:10" ht="15" customHeight="1" x14ac:dyDescent="0.3">
      <c r="A42" s="41">
        <f t="shared" ref="A42:A44" si="13">A41+1</f>
        <v>27</v>
      </c>
      <c r="B42" s="42">
        <v>9788327105783</v>
      </c>
      <c r="C42" s="48" t="s">
        <v>145</v>
      </c>
      <c r="D42" s="6">
        <v>49.9</v>
      </c>
      <c r="E42" s="44">
        <f t="shared" si="11"/>
        <v>32.44</v>
      </c>
      <c r="F42" s="45">
        <f ca="1">IFERROR(__xludf.DUMMYFUNCTION("VLOOKUP($B177,IMPORTRANGE(""https://docs.google.com/spreadsheets/d/12kJeOb3DLWWg8o7sW1QICZ8qsKlcv9OfYjohcMhA61g/edit#gid=1661307685=share"", ""PUBLICAT!A:K""),5,0)"),5)</f>
        <v>5</v>
      </c>
      <c r="G42" s="46"/>
      <c r="H42" s="84">
        <f t="shared" si="12"/>
        <v>0</v>
      </c>
      <c r="I42" s="47" t="s">
        <v>5</v>
      </c>
      <c r="J42" s="115" t="str">
        <f ca="1">IFERROR(__xludf.DUMMYFUNCTION("VLOOKUP($B177,IMPORTRANGE(""https://docs.google.com/spreadsheets/d/1MKJD7C_CKp2_LboH2OnBUiaFdTdVMOriGBVcGuRPO9Y/edit#gid=0=share"", ""Baza!A:K""),7,0)"),"000808")</f>
        <v>000808</v>
      </c>
    </row>
    <row r="43" spans="1:10" ht="15" customHeight="1" x14ac:dyDescent="0.3">
      <c r="A43" s="41">
        <f t="shared" si="13"/>
        <v>28</v>
      </c>
      <c r="B43" s="42">
        <v>9788327106445</v>
      </c>
      <c r="C43" s="48" t="s">
        <v>146</v>
      </c>
      <c r="D43" s="6">
        <v>49.9</v>
      </c>
      <c r="E43" s="44">
        <f t="shared" si="11"/>
        <v>32.44</v>
      </c>
      <c r="F43" s="45">
        <f ca="1">IFERROR(__xludf.DUMMYFUNCTION("VLOOKUP($B178,IMPORTRANGE(""https://docs.google.com/spreadsheets/d/12kJeOb3DLWWg8o7sW1QICZ8qsKlcv9OfYjohcMhA61g/edit#gid=1661307685=share"", ""PUBLICAT!A:K""),5,0)"),5)</f>
        <v>5</v>
      </c>
      <c r="G43" s="46"/>
      <c r="H43" s="84">
        <f t="shared" si="12"/>
        <v>0</v>
      </c>
      <c r="I43" s="47" t="s">
        <v>5</v>
      </c>
      <c r="J43" s="115" t="str">
        <f ca="1">IFERROR(__xludf.DUMMYFUNCTION("VLOOKUP($B178,IMPORTRANGE(""https://docs.google.com/spreadsheets/d/1MKJD7C_CKp2_LboH2OnBUiaFdTdVMOriGBVcGuRPO9Y/edit#gid=0=share"", ""Baza!A:K""),7,0)"),"000809")</f>
        <v>000809</v>
      </c>
    </row>
    <row r="44" spans="1:10" ht="15" customHeight="1" x14ac:dyDescent="0.3">
      <c r="A44" s="41">
        <f t="shared" si="13"/>
        <v>29</v>
      </c>
      <c r="B44" s="42">
        <v>9788327105776</v>
      </c>
      <c r="C44" s="48" t="s">
        <v>147</v>
      </c>
      <c r="D44" s="6">
        <v>49.9</v>
      </c>
      <c r="E44" s="44">
        <f t="shared" si="11"/>
        <v>32.44</v>
      </c>
      <c r="F44" s="45">
        <f ca="1">IFERROR(__xludf.DUMMYFUNCTION("VLOOKUP($B179,IMPORTRANGE(""https://docs.google.com/spreadsheets/d/12kJeOb3DLWWg8o7sW1QICZ8qsKlcv9OfYjohcMhA61g/edit#gid=1661307685=share"", ""PUBLICAT!A:K""),5,0)"),5)</f>
        <v>5</v>
      </c>
      <c r="G44" s="46"/>
      <c r="H44" s="84">
        <f t="shared" si="12"/>
        <v>0</v>
      </c>
      <c r="I44" s="47" t="s">
        <v>5</v>
      </c>
      <c r="J44" s="115" t="str">
        <f ca="1">IFERROR(__xludf.DUMMYFUNCTION("VLOOKUP($B179,IMPORTRANGE(""https://docs.google.com/spreadsheets/d/1MKJD7C_CKp2_LboH2OnBUiaFdTdVMOriGBVcGuRPO9Y/edit#gid=0=share"", ""Baza!A:K""),7,0)"),"000810")</f>
        <v>000810</v>
      </c>
    </row>
    <row r="45" spans="1:10" s="70" customFormat="1" ht="132.6" customHeight="1" x14ac:dyDescent="0.3">
      <c r="A45" s="69" t="s">
        <v>323</v>
      </c>
      <c r="B45" s="69" t="s">
        <v>323</v>
      </c>
      <c r="C45" s="69" t="s">
        <v>323</v>
      </c>
      <c r="D45" s="69" t="s">
        <v>323</v>
      </c>
      <c r="E45" s="69" t="s">
        <v>323</v>
      </c>
      <c r="F45" s="69" t="s">
        <v>323</v>
      </c>
      <c r="G45" s="69" t="s">
        <v>323</v>
      </c>
      <c r="H45" s="83" t="s">
        <v>323</v>
      </c>
      <c r="I45" s="69" t="s">
        <v>323</v>
      </c>
      <c r="J45" s="69" t="s">
        <v>323</v>
      </c>
    </row>
    <row r="46" spans="1:10" ht="28.2" customHeight="1" x14ac:dyDescent="0.3">
      <c r="A46" s="35" t="s">
        <v>0</v>
      </c>
      <c r="B46" s="35" t="s">
        <v>1</v>
      </c>
      <c r="C46" s="36" t="s">
        <v>2</v>
      </c>
      <c r="D46" s="37" t="s">
        <v>163</v>
      </c>
      <c r="E46" s="37" t="s">
        <v>164</v>
      </c>
      <c r="F46" s="38" t="s">
        <v>3</v>
      </c>
      <c r="G46" s="39" t="s">
        <v>165</v>
      </c>
      <c r="H46" s="17" t="s">
        <v>166</v>
      </c>
      <c r="I46" s="17" t="s">
        <v>180</v>
      </c>
      <c r="J46" s="40" t="s">
        <v>4</v>
      </c>
    </row>
    <row r="47" spans="1:10" ht="14.4" x14ac:dyDescent="0.3">
      <c r="A47" s="41">
        <f>A44+1</f>
        <v>30</v>
      </c>
      <c r="B47" s="7">
        <v>9788327106667</v>
      </c>
      <c r="C47" s="14" t="s">
        <v>19</v>
      </c>
      <c r="D47" s="6">
        <v>39.9</v>
      </c>
      <c r="E47" s="44">
        <f t="shared" ref="E47:E52" si="14">ROUND(D47*0.65,2)</f>
        <v>25.94</v>
      </c>
      <c r="F47" s="3">
        <v>5</v>
      </c>
      <c r="G47" s="19"/>
      <c r="H47" s="84">
        <f t="shared" ref="H47:H52" si="15">G47*D47</f>
        <v>0</v>
      </c>
      <c r="I47" s="5" t="s">
        <v>5</v>
      </c>
      <c r="J47" s="4" t="s">
        <v>230</v>
      </c>
    </row>
    <row r="48" spans="1:10" ht="14.4" x14ac:dyDescent="0.3">
      <c r="A48" s="41">
        <f t="shared" ref="A48:A52" si="16">A47+1</f>
        <v>31</v>
      </c>
      <c r="B48" s="7">
        <v>9788327106971</v>
      </c>
      <c r="C48" s="15" t="s">
        <v>81</v>
      </c>
      <c r="D48" s="6">
        <v>39.9</v>
      </c>
      <c r="E48" s="44">
        <f t="shared" si="14"/>
        <v>25.94</v>
      </c>
      <c r="F48" s="3">
        <v>5</v>
      </c>
      <c r="G48" s="19"/>
      <c r="H48" s="84">
        <f t="shared" si="15"/>
        <v>0</v>
      </c>
      <c r="I48" s="29" t="s">
        <v>5</v>
      </c>
      <c r="J48" s="4" t="s">
        <v>231</v>
      </c>
    </row>
    <row r="49" spans="1:10" ht="14.4" x14ac:dyDescent="0.3">
      <c r="A49" s="41">
        <f t="shared" si="16"/>
        <v>32</v>
      </c>
      <c r="B49" s="7">
        <v>9788327106964</v>
      </c>
      <c r="C49" s="15" t="s">
        <v>82</v>
      </c>
      <c r="D49" s="6">
        <v>39.9</v>
      </c>
      <c r="E49" s="44">
        <f t="shared" si="14"/>
        <v>25.94</v>
      </c>
      <c r="F49" s="3">
        <v>5</v>
      </c>
      <c r="G49" s="19"/>
      <c r="H49" s="84">
        <f t="shared" si="15"/>
        <v>0</v>
      </c>
      <c r="I49" s="29" t="s">
        <v>5</v>
      </c>
      <c r="J49" s="4" t="s">
        <v>232</v>
      </c>
    </row>
    <row r="50" spans="1:10" ht="14.4" x14ac:dyDescent="0.3">
      <c r="A50" s="41">
        <f t="shared" si="16"/>
        <v>33</v>
      </c>
      <c r="B50" s="7">
        <v>9788327106605</v>
      </c>
      <c r="C50" s="15" t="s">
        <v>83</v>
      </c>
      <c r="D50" s="6">
        <v>39.9</v>
      </c>
      <c r="E50" s="44">
        <f t="shared" si="14"/>
        <v>25.94</v>
      </c>
      <c r="F50" s="3">
        <v>5</v>
      </c>
      <c r="G50" s="19"/>
      <c r="H50" s="84">
        <f t="shared" si="15"/>
        <v>0</v>
      </c>
      <c r="I50" s="29" t="s">
        <v>5</v>
      </c>
      <c r="J50" s="4" t="s">
        <v>233</v>
      </c>
    </row>
    <row r="51" spans="1:10" ht="14.4" x14ac:dyDescent="0.3">
      <c r="A51" s="41">
        <f t="shared" si="16"/>
        <v>34</v>
      </c>
      <c r="B51" s="7">
        <v>9788327107442</v>
      </c>
      <c r="C51" s="16" t="s">
        <v>84</v>
      </c>
      <c r="D51" s="6">
        <v>39.9</v>
      </c>
      <c r="E51" s="44">
        <f t="shared" si="14"/>
        <v>25.94</v>
      </c>
      <c r="F51" s="3">
        <v>5</v>
      </c>
      <c r="G51" s="19"/>
      <c r="H51" s="84">
        <f t="shared" si="15"/>
        <v>0</v>
      </c>
      <c r="I51" s="29" t="s">
        <v>5</v>
      </c>
      <c r="J51" s="4" t="s">
        <v>234</v>
      </c>
    </row>
    <row r="52" spans="1:10" ht="14.4" x14ac:dyDescent="0.3">
      <c r="A52" s="41">
        <f t="shared" si="16"/>
        <v>35</v>
      </c>
      <c r="B52" s="7">
        <v>9788327106483</v>
      </c>
      <c r="C52" s="15" t="s">
        <v>90</v>
      </c>
      <c r="D52" s="6">
        <v>39.9</v>
      </c>
      <c r="E52" s="44">
        <f t="shared" si="14"/>
        <v>25.94</v>
      </c>
      <c r="F52" s="3">
        <v>5</v>
      </c>
      <c r="G52" s="19"/>
      <c r="H52" s="84">
        <f t="shared" si="15"/>
        <v>0</v>
      </c>
      <c r="I52" s="29" t="s">
        <v>5</v>
      </c>
      <c r="J52" s="4" t="s">
        <v>235</v>
      </c>
    </row>
    <row r="53" spans="1:10" ht="28.8" customHeight="1" x14ac:dyDescent="0.3">
      <c r="A53" s="77"/>
      <c r="B53" s="78"/>
      <c r="C53" s="78"/>
      <c r="D53" s="65" t="s">
        <v>182</v>
      </c>
      <c r="E53" s="78"/>
      <c r="F53" s="78"/>
      <c r="G53" s="78"/>
      <c r="H53" s="85"/>
      <c r="I53" s="78"/>
      <c r="J53" s="79"/>
    </row>
    <row r="54" spans="1:10" ht="28.2" customHeight="1" x14ac:dyDescent="0.3">
      <c r="A54" s="1" t="s">
        <v>0</v>
      </c>
      <c r="B54" s="1" t="s">
        <v>1</v>
      </c>
      <c r="C54" s="28" t="s">
        <v>2</v>
      </c>
      <c r="D54" s="10" t="s">
        <v>163</v>
      </c>
      <c r="E54" s="11" t="s">
        <v>164</v>
      </c>
      <c r="F54" s="8" t="s">
        <v>3</v>
      </c>
      <c r="G54" s="17" t="s">
        <v>165</v>
      </c>
      <c r="H54" s="17" t="s">
        <v>166</v>
      </c>
      <c r="I54" s="17" t="s">
        <v>180</v>
      </c>
      <c r="J54" s="9" t="s">
        <v>4</v>
      </c>
    </row>
    <row r="55" spans="1:10" ht="14.4" x14ac:dyDescent="0.3">
      <c r="A55" s="20">
        <f>A52+1</f>
        <v>36</v>
      </c>
      <c r="B55" s="21">
        <v>9788327106490</v>
      </c>
      <c r="C55" s="27" t="s">
        <v>75</v>
      </c>
      <c r="D55" s="6">
        <v>39.9</v>
      </c>
      <c r="E55" s="44">
        <f t="shared" ref="E55:E57" si="17">ROUND(D55*0.65,2)</f>
        <v>25.94</v>
      </c>
      <c r="F55" s="24">
        <f ca="1">IFERROR(__xludf.DUMMYFUNCTION("VLOOKUP($B92,IMPORTRANGE(""https://docs.google.com/spreadsheets/d/12kJeOb3DLWWg8o7sW1QICZ8qsKlcv9OfYjohcMhA61g/edit#gid=1661307685=share"", ""PUBLICAT!A:K""),5,0)"),5)</f>
        <v>5</v>
      </c>
      <c r="G55" s="25"/>
      <c r="H55" s="84">
        <f t="shared" ref="H55:H57" si="18">G55*D55</f>
        <v>0</v>
      </c>
      <c r="I55" s="50" t="s">
        <v>5</v>
      </c>
      <c r="J55" s="113" t="str">
        <f ca="1">IFERROR(__xludf.DUMMYFUNCTION("VLOOKUP($B92,IMPORTRANGE(""https://docs.google.com/spreadsheets/d/1MKJD7C_CKp2_LboH2OnBUiaFdTdVMOriGBVcGuRPO9Y/edit#gid=0=share"", ""Baza!A:K""),7,0)"),"000816")</f>
        <v>000816</v>
      </c>
    </row>
    <row r="56" spans="1:10" ht="14.4" x14ac:dyDescent="0.3">
      <c r="A56" s="41">
        <f>A55+1</f>
        <v>37</v>
      </c>
      <c r="B56" s="42">
        <v>9788327105875</v>
      </c>
      <c r="C56" s="51" t="s">
        <v>185</v>
      </c>
      <c r="D56" s="6">
        <v>39.9</v>
      </c>
      <c r="E56" s="44">
        <f t="shared" si="17"/>
        <v>25.94</v>
      </c>
      <c r="F56" s="45">
        <f ca="1">IFERROR(__xludf.DUMMYFUNCTION("VLOOKUP($B98,IMPORTRANGE(""https://docs.google.com/spreadsheets/d/12kJeOb3DLWWg8o7sW1QICZ8qsKlcv9OfYjohcMhA61g/edit#gid=1661307685=share"", ""PUBLICAT!A:K""),5,0)"),5)</f>
        <v>5</v>
      </c>
      <c r="G56" s="46"/>
      <c r="H56" s="84">
        <f t="shared" si="18"/>
        <v>0</v>
      </c>
      <c r="I56" s="47" t="s">
        <v>5</v>
      </c>
      <c r="J56" s="63" t="s">
        <v>360</v>
      </c>
    </row>
    <row r="57" spans="1:10" ht="14.4" x14ac:dyDescent="0.3">
      <c r="A57" s="41">
        <f>A56+1</f>
        <v>38</v>
      </c>
      <c r="B57" s="42">
        <v>9788327107114</v>
      </c>
      <c r="C57" s="48" t="s">
        <v>79</v>
      </c>
      <c r="D57" s="6">
        <v>39.9</v>
      </c>
      <c r="E57" s="44">
        <f t="shared" si="17"/>
        <v>25.94</v>
      </c>
      <c r="F57" s="45">
        <f ca="1">IFERROR(__xludf.DUMMYFUNCTION("VLOOKUP($B98,IMPORTRANGE(""https://docs.google.com/spreadsheets/d/12kJeOb3DLWWg8o7sW1QICZ8qsKlcv9OfYjohcMhA61g/edit#gid=1661307685=share"", ""PUBLICAT!A:K""),5,0)"),5)</f>
        <v>5</v>
      </c>
      <c r="G57" s="46"/>
      <c r="H57" s="84">
        <f t="shared" si="18"/>
        <v>0</v>
      </c>
      <c r="I57" s="47" t="s">
        <v>5</v>
      </c>
      <c r="J57" s="115" t="str">
        <f ca="1">IFERROR(__xludf.DUMMYFUNCTION("VLOOKUP($B98,IMPORTRANGE(""https://docs.google.com/spreadsheets/d/1MKJD7C_CKp2_LboH2OnBUiaFdTdVMOriGBVcGuRPO9Y/edit#gid=0=share"", ""Baza!A:K""),7,0)"),"001323")</f>
        <v>001323</v>
      </c>
    </row>
    <row r="58" spans="1:10" ht="28.8" customHeight="1" x14ac:dyDescent="0.3">
      <c r="A58" s="77"/>
      <c r="B58" s="78"/>
      <c r="C58" s="78"/>
      <c r="D58" s="65" t="s">
        <v>181</v>
      </c>
      <c r="E58" s="78"/>
      <c r="F58" s="78"/>
      <c r="G58" s="78"/>
      <c r="H58" s="85"/>
      <c r="I58" s="78"/>
      <c r="J58" s="79"/>
    </row>
    <row r="59" spans="1:10" ht="28.2" customHeight="1" x14ac:dyDescent="0.3">
      <c r="A59" s="1" t="s">
        <v>0</v>
      </c>
      <c r="B59" s="1" t="s">
        <v>1</v>
      </c>
      <c r="C59" s="28" t="s">
        <v>2</v>
      </c>
      <c r="D59" s="10" t="s">
        <v>163</v>
      </c>
      <c r="E59" s="11" t="s">
        <v>164</v>
      </c>
      <c r="F59" s="8" t="s">
        <v>3</v>
      </c>
      <c r="G59" s="17" t="s">
        <v>165</v>
      </c>
      <c r="H59" s="17" t="s">
        <v>166</v>
      </c>
      <c r="I59" s="17" t="s">
        <v>180</v>
      </c>
      <c r="J59" s="9" t="s">
        <v>4</v>
      </c>
    </row>
    <row r="60" spans="1:10" ht="14.4" x14ac:dyDescent="0.3">
      <c r="A60" s="2">
        <f>A57+1</f>
        <v>39</v>
      </c>
      <c r="B60" s="7">
        <v>9788327106360</v>
      </c>
      <c r="C60" s="15" t="s">
        <v>56</v>
      </c>
      <c r="D60" s="6">
        <v>39.9</v>
      </c>
      <c r="E60" s="44">
        <f t="shared" ref="E60:E64" si="19">ROUND(D60*0.65,2)</f>
        <v>25.94</v>
      </c>
      <c r="F60" s="3">
        <f ca="1">IFERROR(__xludf.DUMMYFUNCTION("VLOOKUP($B73,IMPORTRANGE(""https://docs.google.com/spreadsheets/d/12kJeOb3DLWWg8o7sW1QICZ8qsKlcv9OfYjohcMhA61g/edit#gid=1661307685=share"", ""PUBLICAT!A:K""),5,0)"),5)</f>
        <v>5</v>
      </c>
      <c r="G60" s="19"/>
      <c r="H60" s="84">
        <f t="shared" ref="H60:H64" si="20">G60*D60</f>
        <v>0</v>
      </c>
      <c r="I60" s="47" t="s">
        <v>5</v>
      </c>
      <c r="J60" s="4" t="str">
        <f ca="1">IFERROR(__xludf.DUMMYFUNCTION("VLOOKUP($B73,IMPORTRANGE(""https://docs.google.com/spreadsheets/d/1MKJD7C_CKp2_LboH2OnBUiaFdTdVMOriGBVcGuRPO9Y/edit#gid=0=share"", ""Baza!A:K""),7,0)"),"002103")</f>
        <v>002103</v>
      </c>
    </row>
    <row r="61" spans="1:10" ht="14.4" x14ac:dyDescent="0.3">
      <c r="A61" s="2">
        <f>A60+1</f>
        <v>40</v>
      </c>
      <c r="B61" s="7">
        <v>9788327106438</v>
      </c>
      <c r="C61" s="15" t="s">
        <v>57</v>
      </c>
      <c r="D61" s="6">
        <v>49.9</v>
      </c>
      <c r="E61" s="44">
        <f t="shared" si="19"/>
        <v>32.44</v>
      </c>
      <c r="F61" s="3">
        <f ca="1">IFERROR(__xludf.DUMMYFUNCTION("VLOOKUP($B74,IMPORTRANGE(""https://docs.google.com/spreadsheets/d/12kJeOb3DLWWg8o7sW1QICZ8qsKlcv9OfYjohcMhA61g/edit#gid=1661307685=share"", ""PUBLICAT!A:K""),5,0)"),5)</f>
        <v>5</v>
      </c>
      <c r="G61" s="19"/>
      <c r="H61" s="84">
        <f t="shared" si="20"/>
        <v>0</v>
      </c>
      <c r="I61" s="47" t="s">
        <v>5</v>
      </c>
      <c r="J61" s="4" t="str">
        <f ca="1">IFERROR(__xludf.DUMMYFUNCTION("VLOOKUP($B74,IMPORTRANGE(""https://docs.google.com/spreadsheets/d/1MKJD7C_CKp2_LboH2OnBUiaFdTdVMOriGBVcGuRPO9Y/edit#gid=0=share"", ""Baza!A:K""),7,0)"),"000728")</f>
        <v>000728</v>
      </c>
    </row>
    <row r="62" spans="1:10" ht="14.4" x14ac:dyDescent="0.3">
      <c r="A62" s="2">
        <f t="shared" ref="A62:A64" si="21">A61+1</f>
        <v>41</v>
      </c>
      <c r="B62" s="7">
        <v>9788327107015</v>
      </c>
      <c r="C62" s="15" t="s">
        <v>62</v>
      </c>
      <c r="D62" s="6">
        <v>39.9</v>
      </c>
      <c r="E62" s="44">
        <f t="shared" si="19"/>
        <v>25.94</v>
      </c>
      <c r="F62" s="3">
        <v>5</v>
      </c>
      <c r="G62" s="19"/>
      <c r="H62" s="84">
        <f t="shared" si="20"/>
        <v>0</v>
      </c>
      <c r="I62" s="47" t="s">
        <v>5</v>
      </c>
      <c r="J62" s="4" t="s">
        <v>178</v>
      </c>
    </row>
    <row r="63" spans="1:10" ht="14.4" x14ac:dyDescent="0.3">
      <c r="A63" s="2">
        <f t="shared" si="21"/>
        <v>42</v>
      </c>
      <c r="B63" s="7">
        <v>9788327105462</v>
      </c>
      <c r="C63" s="15" t="s">
        <v>133</v>
      </c>
      <c r="D63" s="6">
        <v>44.9</v>
      </c>
      <c r="E63" s="44">
        <f t="shared" si="19"/>
        <v>29.19</v>
      </c>
      <c r="F63" s="3">
        <v>5</v>
      </c>
      <c r="G63" s="19"/>
      <c r="H63" s="84">
        <f t="shared" si="20"/>
        <v>0</v>
      </c>
      <c r="I63" s="47" t="s">
        <v>5</v>
      </c>
      <c r="J63" s="4" t="s">
        <v>179</v>
      </c>
    </row>
    <row r="64" spans="1:10" ht="14.4" x14ac:dyDescent="0.3">
      <c r="A64" s="2">
        <f t="shared" si="21"/>
        <v>43</v>
      </c>
      <c r="B64" s="7">
        <v>9788327107312</v>
      </c>
      <c r="C64" s="15" t="s">
        <v>137</v>
      </c>
      <c r="D64" s="6">
        <v>49.9</v>
      </c>
      <c r="E64" s="44">
        <f t="shared" si="19"/>
        <v>32.44</v>
      </c>
      <c r="F64" s="3">
        <f ca="1">IFERROR(__xludf.DUMMYFUNCTION("VLOOKUP($B169,IMPORTRANGE(""https://docs.google.com/spreadsheets/d/12kJeOb3DLWWg8o7sW1QICZ8qsKlcv9OfYjohcMhA61g/edit#gid=1661307685=share"", ""PUBLICAT!A:K""),5,0)"),5)</f>
        <v>5</v>
      </c>
      <c r="G64" s="19"/>
      <c r="H64" s="84">
        <f t="shared" si="20"/>
        <v>0</v>
      </c>
      <c r="I64" s="47" t="s">
        <v>5</v>
      </c>
      <c r="J64" s="4" t="str">
        <f ca="1">IFERROR(__xludf.DUMMYFUNCTION("VLOOKUP($B169,IMPORTRANGE(""https://docs.google.com/spreadsheets/d/1MKJD7C_CKp2_LboH2OnBUiaFdTdVMOriGBVcGuRPO9Y/edit#gid=0=share"", ""Baza!A:K""),7,0)"),"002105")</f>
        <v>002105</v>
      </c>
    </row>
    <row r="65" spans="1:10" ht="28.8" customHeight="1" x14ac:dyDescent="0.3">
      <c r="A65" s="77"/>
      <c r="B65" s="78"/>
      <c r="C65" s="78"/>
      <c r="D65" s="65" t="s">
        <v>183</v>
      </c>
      <c r="E65" s="78"/>
      <c r="F65" s="78"/>
      <c r="G65" s="78"/>
      <c r="H65" s="85"/>
      <c r="I65" s="78"/>
      <c r="J65" s="79"/>
    </row>
    <row r="66" spans="1:10" ht="28.2" customHeight="1" x14ac:dyDescent="0.3">
      <c r="A66" s="1" t="s">
        <v>0</v>
      </c>
      <c r="B66" s="1" t="s">
        <v>1</v>
      </c>
      <c r="C66" s="28" t="s">
        <v>2</v>
      </c>
      <c r="D66" s="10" t="s">
        <v>163</v>
      </c>
      <c r="E66" s="11" t="s">
        <v>164</v>
      </c>
      <c r="F66" s="8" t="s">
        <v>3</v>
      </c>
      <c r="G66" s="17" t="s">
        <v>165</v>
      </c>
      <c r="H66" s="17" t="s">
        <v>166</v>
      </c>
      <c r="I66" s="17" t="s">
        <v>180</v>
      </c>
      <c r="J66" s="9" t="s">
        <v>4</v>
      </c>
    </row>
    <row r="67" spans="1:10" ht="14.4" x14ac:dyDescent="0.3">
      <c r="A67" s="2">
        <f>A64+1</f>
        <v>44</v>
      </c>
      <c r="B67" s="7">
        <v>9788327106018</v>
      </c>
      <c r="C67" s="15" t="s">
        <v>131</v>
      </c>
      <c r="D67" s="6">
        <v>49.9</v>
      </c>
      <c r="E67" s="44">
        <f t="shared" ref="E67:E68" si="22">ROUND(D67*0.65,2)</f>
        <v>32.44</v>
      </c>
      <c r="F67" s="3">
        <f ca="1">IFERROR(__xludf.DUMMYFUNCTION("VLOOKUP($B163,IMPORTRANGE(""https://docs.google.com/spreadsheets/d/12kJeOb3DLWWg8o7sW1QICZ8qsKlcv9OfYjohcMhA61g/edit#gid=1661307685=share"", ""PUBLICAT!A:K""),5,0)"),5)</f>
        <v>5</v>
      </c>
      <c r="G67" s="19"/>
      <c r="H67" s="84">
        <f t="shared" ref="H67:H68" si="23">G67*D67</f>
        <v>0</v>
      </c>
      <c r="I67" s="47" t="s">
        <v>5</v>
      </c>
      <c r="J67" s="115" t="str">
        <f ca="1">IFERROR(__xludf.DUMMYFUNCTION("VLOOKUP($B163,IMPORTRANGE(""https://docs.google.com/spreadsheets/d/1MKJD7C_CKp2_LboH2OnBUiaFdTdVMOriGBVcGuRPO9Y/edit#gid=0=share"", ""Baza!A:K""),7,0)"),"000735")</f>
        <v>000735</v>
      </c>
    </row>
    <row r="68" spans="1:10" ht="14.4" x14ac:dyDescent="0.3">
      <c r="A68" s="2">
        <f t="shared" ref="A68" si="24">A67+1</f>
        <v>45</v>
      </c>
      <c r="B68" s="7">
        <v>9788327106407</v>
      </c>
      <c r="C68" s="49" t="s">
        <v>184</v>
      </c>
      <c r="D68" s="6">
        <v>39.9</v>
      </c>
      <c r="E68" s="44">
        <f t="shared" si="22"/>
        <v>25.94</v>
      </c>
      <c r="F68" s="3">
        <v>5</v>
      </c>
      <c r="G68" s="19"/>
      <c r="H68" s="84">
        <f t="shared" si="23"/>
        <v>0</v>
      </c>
      <c r="I68" s="47" t="s">
        <v>5</v>
      </c>
      <c r="J68" s="63" t="s">
        <v>361</v>
      </c>
    </row>
    <row r="69" spans="1:10" ht="28.8" customHeight="1" x14ac:dyDescent="0.3">
      <c r="A69" s="77"/>
      <c r="B69" s="78"/>
      <c r="C69" s="78"/>
      <c r="D69" s="65" t="s">
        <v>186</v>
      </c>
      <c r="E69" s="78"/>
      <c r="F69" s="78"/>
      <c r="G69" s="78"/>
      <c r="H69" s="85"/>
      <c r="I69" s="78"/>
      <c r="J69" s="79"/>
    </row>
    <row r="70" spans="1:10" ht="28.2" customHeight="1" x14ac:dyDescent="0.3">
      <c r="A70" s="1" t="s">
        <v>0</v>
      </c>
      <c r="B70" s="1" t="s">
        <v>1</v>
      </c>
      <c r="C70" s="28" t="s">
        <v>2</v>
      </c>
      <c r="D70" s="10" t="s">
        <v>163</v>
      </c>
      <c r="E70" s="11" t="s">
        <v>164</v>
      </c>
      <c r="F70" s="8" t="s">
        <v>3</v>
      </c>
      <c r="G70" s="17" t="s">
        <v>165</v>
      </c>
      <c r="H70" s="17" t="s">
        <v>166</v>
      </c>
      <c r="I70" s="17" t="s">
        <v>180</v>
      </c>
      <c r="J70" s="9" t="s">
        <v>4</v>
      </c>
    </row>
    <row r="71" spans="1:10" ht="14.4" x14ac:dyDescent="0.3">
      <c r="A71" s="2">
        <f>A68+1</f>
        <v>46</v>
      </c>
      <c r="B71" s="7">
        <v>9788327103987</v>
      </c>
      <c r="C71" s="49" t="s">
        <v>187</v>
      </c>
      <c r="D71" s="6">
        <v>39.9</v>
      </c>
      <c r="E71" s="44">
        <f t="shared" ref="E71:E74" si="25">ROUND(D71*0.65,2)</f>
        <v>25.94</v>
      </c>
      <c r="F71" s="3">
        <v>5</v>
      </c>
      <c r="G71" s="19"/>
      <c r="H71" s="84">
        <f t="shared" ref="H71:H74" si="26">G71*D71</f>
        <v>0</v>
      </c>
      <c r="I71" s="47" t="s">
        <v>5</v>
      </c>
      <c r="J71" s="63" t="s">
        <v>362</v>
      </c>
    </row>
    <row r="72" spans="1:10" ht="14.4" x14ac:dyDescent="0.3">
      <c r="A72" s="2">
        <f t="shared" ref="A72:A73" si="27">A71+1</f>
        <v>47</v>
      </c>
      <c r="B72" s="7">
        <v>9788327105455</v>
      </c>
      <c r="C72" s="15" t="s">
        <v>63</v>
      </c>
      <c r="D72" s="6">
        <v>39.9</v>
      </c>
      <c r="E72" s="44">
        <f t="shared" si="25"/>
        <v>25.94</v>
      </c>
      <c r="F72" s="3">
        <f ca="1">IFERROR(__xludf.DUMMYFUNCTION("VLOOKUP($B80,IMPORTRANGE(""https://docs.google.com/spreadsheets/d/12kJeOb3DLWWg8o7sW1QICZ8qsKlcv9OfYjohcMhA61g/edit#gid=1661307685=share"", ""PUBLICAT!A:K""),5,0)"),5)</f>
        <v>5</v>
      </c>
      <c r="G72" s="19"/>
      <c r="H72" s="84">
        <f t="shared" si="26"/>
        <v>0</v>
      </c>
      <c r="I72" s="47" t="s">
        <v>5</v>
      </c>
      <c r="J72" s="4" t="str">
        <f ca="1">IFERROR(__xludf.DUMMYFUNCTION("VLOOKUP($B80,IMPORTRANGE(""https://docs.google.com/spreadsheets/d/1MKJD7C_CKp2_LboH2OnBUiaFdTdVMOriGBVcGuRPO9Y/edit#gid=0=share"", ""Baza!A:K""),7,0)"),"000739")</f>
        <v>000739</v>
      </c>
    </row>
    <row r="73" spans="1:10" ht="15" customHeight="1" x14ac:dyDescent="0.3">
      <c r="A73" s="2">
        <f t="shared" si="27"/>
        <v>48</v>
      </c>
      <c r="B73" s="7">
        <v>9788327107381</v>
      </c>
      <c r="C73" s="49" t="s">
        <v>188</v>
      </c>
      <c r="D73" s="6">
        <v>39.9</v>
      </c>
      <c r="E73" s="44">
        <f t="shared" si="25"/>
        <v>25.94</v>
      </c>
      <c r="F73" s="3">
        <v>5</v>
      </c>
      <c r="G73" s="19"/>
      <c r="H73" s="84">
        <f t="shared" si="26"/>
        <v>0</v>
      </c>
      <c r="I73" s="47" t="s">
        <v>5</v>
      </c>
      <c r="J73" s="63" t="s">
        <v>363</v>
      </c>
    </row>
    <row r="74" spans="1:10" ht="15" customHeight="1" x14ac:dyDescent="0.3">
      <c r="A74" s="2">
        <f t="shared" ref="A74" si="28">A73+1</f>
        <v>49</v>
      </c>
      <c r="B74" s="7">
        <v>9788327106414</v>
      </c>
      <c r="C74" s="49" t="s">
        <v>189</v>
      </c>
      <c r="D74" s="6">
        <v>39.9</v>
      </c>
      <c r="E74" s="44">
        <f t="shared" si="25"/>
        <v>25.94</v>
      </c>
      <c r="F74" s="3">
        <v>5</v>
      </c>
      <c r="G74" s="19"/>
      <c r="H74" s="84">
        <f t="shared" si="26"/>
        <v>0</v>
      </c>
      <c r="I74" s="47" t="s">
        <v>5</v>
      </c>
      <c r="J74" s="63" t="s">
        <v>364</v>
      </c>
    </row>
    <row r="75" spans="1:10" ht="28.8" customHeight="1" x14ac:dyDescent="0.3">
      <c r="A75" s="77"/>
      <c r="B75" s="78"/>
      <c r="C75" s="78"/>
      <c r="D75" s="65" t="s">
        <v>190</v>
      </c>
      <c r="E75" s="78"/>
      <c r="F75" s="78"/>
      <c r="G75" s="78"/>
      <c r="H75" s="85"/>
      <c r="I75" s="78"/>
      <c r="J75" s="79"/>
    </row>
    <row r="76" spans="1:10" ht="28.2" customHeight="1" x14ac:dyDescent="0.3">
      <c r="A76" s="1" t="s">
        <v>0</v>
      </c>
      <c r="B76" s="1" t="s">
        <v>1</v>
      </c>
      <c r="C76" s="28" t="s">
        <v>2</v>
      </c>
      <c r="D76" s="10" t="s">
        <v>163</v>
      </c>
      <c r="E76" s="11" t="s">
        <v>164</v>
      </c>
      <c r="F76" s="8" t="s">
        <v>3</v>
      </c>
      <c r="G76" s="17" t="s">
        <v>165</v>
      </c>
      <c r="H76" s="17" t="s">
        <v>166</v>
      </c>
      <c r="I76" s="17" t="s">
        <v>180</v>
      </c>
      <c r="J76" s="9" t="s">
        <v>4</v>
      </c>
    </row>
    <row r="77" spans="1:10" ht="14.4" x14ac:dyDescent="0.3">
      <c r="A77" s="2">
        <f>A74+1</f>
        <v>50</v>
      </c>
      <c r="B77" s="7">
        <v>9788327105387</v>
      </c>
      <c r="C77" s="15" t="s">
        <v>132</v>
      </c>
      <c r="D77" s="6">
        <v>39.9</v>
      </c>
      <c r="E77" s="44">
        <f t="shared" ref="E77:E80" si="29">ROUND(D77*0.65,2)</f>
        <v>25.94</v>
      </c>
      <c r="F77" s="3">
        <f ca="1">IFERROR(__xludf.DUMMYFUNCTION("VLOOKUP($B164,IMPORTRANGE(""https://docs.google.com/spreadsheets/d/12kJeOb3DLWWg8o7sW1QICZ8qsKlcv9OfYjohcMhA61g/edit#gid=1661307685=share"", ""PUBLICAT!A:K""),5,0)"),5)</f>
        <v>5</v>
      </c>
      <c r="G77" s="19"/>
      <c r="H77" s="84">
        <f t="shared" ref="H77:H80" si="30">G77*D77</f>
        <v>0</v>
      </c>
      <c r="I77" s="47" t="s">
        <v>5</v>
      </c>
      <c r="J77" s="4" t="str">
        <f ca="1">IFERROR(__xludf.DUMMYFUNCTION("VLOOKUP($B164,IMPORTRANGE(""https://docs.google.com/spreadsheets/d/1MKJD7C_CKp2_LboH2OnBUiaFdTdVMOriGBVcGuRPO9Y/edit#gid=0=share"", ""Baza!A:K""),7,0)"),"000758")</f>
        <v>000758</v>
      </c>
    </row>
    <row r="78" spans="1:10" ht="14.4" x14ac:dyDescent="0.3">
      <c r="A78" s="2">
        <f t="shared" ref="A78:A80" si="31">A77+1</f>
        <v>51</v>
      </c>
      <c r="B78" s="7">
        <v>9788327107282</v>
      </c>
      <c r="C78" s="15" t="s">
        <v>135</v>
      </c>
      <c r="D78" s="6">
        <v>44.9</v>
      </c>
      <c r="E78" s="44">
        <f t="shared" si="29"/>
        <v>29.19</v>
      </c>
      <c r="F78" s="3">
        <f ca="1">IFERROR(__xludf.DUMMYFUNCTION("VLOOKUP($B167,IMPORTRANGE(""https://docs.google.com/spreadsheets/d/12kJeOb3DLWWg8o7sW1QICZ8qsKlcv9OfYjohcMhA61g/edit#gid=1661307685=share"", ""PUBLICAT!A:K""),5,0)"),5)</f>
        <v>5</v>
      </c>
      <c r="G78" s="19"/>
      <c r="H78" s="84">
        <f t="shared" si="30"/>
        <v>0</v>
      </c>
      <c r="I78" s="47" t="s">
        <v>5</v>
      </c>
      <c r="J78" s="4" t="str">
        <f ca="1">IFERROR(__xludf.DUMMYFUNCTION("VLOOKUP($B167,IMPORTRANGE(""https://docs.google.com/spreadsheets/d/1MKJD7C_CKp2_LboH2OnBUiaFdTdVMOriGBVcGuRPO9Y/edit#gid=0=share"", ""Baza!A:K""),7,0)"),"001762")</f>
        <v>001762</v>
      </c>
    </row>
    <row r="79" spans="1:10" ht="14.4" x14ac:dyDescent="0.3">
      <c r="A79" s="2">
        <f t="shared" si="31"/>
        <v>52</v>
      </c>
      <c r="B79" s="7">
        <v>9788327107299</v>
      </c>
      <c r="C79" s="15" t="s">
        <v>136</v>
      </c>
      <c r="D79" s="6">
        <v>44.9</v>
      </c>
      <c r="E79" s="44">
        <f t="shared" si="29"/>
        <v>29.19</v>
      </c>
      <c r="F79" s="3">
        <f ca="1">IFERROR(__xludf.DUMMYFUNCTION("VLOOKUP($B168,IMPORTRANGE(""https://docs.google.com/spreadsheets/d/12kJeOb3DLWWg8o7sW1QICZ8qsKlcv9OfYjohcMhA61g/edit#gid=1661307685=share"", ""PUBLICAT!A:K""),5,0)"),5)</f>
        <v>5</v>
      </c>
      <c r="G79" s="19"/>
      <c r="H79" s="84">
        <f t="shared" si="30"/>
        <v>0</v>
      </c>
      <c r="I79" s="47" t="s">
        <v>5</v>
      </c>
      <c r="J79" s="4" t="str">
        <f ca="1">IFERROR(__xludf.DUMMYFUNCTION("VLOOKUP($B168,IMPORTRANGE(""https://docs.google.com/spreadsheets/d/1MKJD7C_CKp2_LboH2OnBUiaFdTdVMOriGBVcGuRPO9Y/edit#gid=0=share"", ""Baza!A:K""),7,0)"),"001763")</f>
        <v>001763</v>
      </c>
    </row>
    <row r="80" spans="1:10" ht="14.4" x14ac:dyDescent="0.3">
      <c r="A80" s="2">
        <f t="shared" si="31"/>
        <v>53</v>
      </c>
      <c r="B80" s="7">
        <v>9788327105943</v>
      </c>
      <c r="C80" s="15" t="s">
        <v>148</v>
      </c>
      <c r="D80" s="6">
        <v>39.9</v>
      </c>
      <c r="E80" s="44">
        <f t="shared" si="29"/>
        <v>25.94</v>
      </c>
      <c r="F80" s="3">
        <f ca="1">IFERROR(__xludf.DUMMYFUNCTION("VLOOKUP($B180,IMPORTRANGE(""https://docs.google.com/spreadsheets/d/12kJeOb3DLWWg8o7sW1QICZ8qsKlcv9OfYjohcMhA61g/edit#gid=1661307685=share"", ""PUBLICAT!A:K""),5,0)"),5)</f>
        <v>5</v>
      </c>
      <c r="G80" s="19"/>
      <c r="H80" s="84">
        <f t="shared" si="30"/>
        <v>0</v>
      </c>
      <c r="I80" s="47" t="s">
        <v>5</v>
      </c>
      <c r="J80" s="4" t="str">
        <f ca="1">IFERROR(__xludf.DUMMYFUNCTION("VLOOKUP($B180,IMPORTRANGE(""https://docs.google.com/spreadsheets/d/1MKJD7C_CKp2_LboH2OnBUiaFdTdVMOriGBVcGuRPO9Y/edit#gid=0=share"", ""Baza!A:K""),7,0)"),"000820")</f>
        <v>000820</v>
      </c>
    </row>
    <row r="81" spans="1:10" ht="28.8" customHeight="1" x14ac:dyDescent="0.3">
      <c r="A81" s="77"/>
      <c r="B81" s="78"/>
      <c r="C81" s="78"/>
      <c r="D81" s="65" t="s">
        <v>191</v>
      </c>
      <c r="E81" s="78"/>
      <c r="F81" s="78"/>
      <c r="G81" s="78"/>
      <c r="H81" s="85"/>
      <c r="I81" s="78"/>
      <c r="J81" s="79"/>
    </row>
    <row r="82" spans="1:10" ht="28.2" customHeight="1" x14ac:dyDescent="0.3">
      <c r="A82" s="1" t="s">
        <v>0</v>
      </c>
      <c r="B82" s="1" t="s">
        <v>1</v>
      </c>
      <c r="C82" s="28" t="s">
        <v>2</v>
      </c>
      <c r="D82" s="10" t="s">
        <v>163</v>
      </c>
      <c r="E82" s="11" t="s">
        <v>164</v>
      </c>
      <c r="F82" s="8" t="s">
        <v>3</v>
      </c>
      <c r="G82" s="17" t="s">
        <v>165</v>
      </c>
      <c r="H82" s="17" t="s">
        <v>166</v>
      </c>
      <c r="I82" s="17" t="s">
        <v>180</v>
      </c>
      <c r="J82" s="9" t="s">
        <v>4</v>
      </c>
    </row>
    <row r="83" spans="1:10" ht="14.4" x14ac:dyDescent="0.3">
      <c r="A83" s="20">
        <f>A80+1</f>
        <v>54</v>
      </c>
      <c r="B83" s="21">
        <v>9788327105110</v>
      </c>
      <c r="C83" s="27" t="s">
        <v>150</v>
      </c>
      <c r="D83" s="23">
        <v>39.9</v>
      </c>
      <c r="E83" s="44">
        <f t="shared" ref="E83:E85" si="32">ROUND(D83*0.65,2)</f>
        <v>25.94</v>
      </c>
      <c r="F83" s="24">
        <f ca="1">IFERROR(__xludf.DUMMYFUNCTION("VLOOKUP($B182,IMPORTRANGE(""https://docs.google.com/spreadsheets/d/12kJeOb3DLWWg8o7sW1QICZ8qsKlcv9OfYjohcMhA61g/edit#gid=1661307685=share"", ""PUBLICAT!A:K""),5,0)"),5)</f>
        <v>5</v>
      </c>
      <c r="G83" s="25"/>
      <c r="H83" s="84">
        <f t="shared" ref="H83:H85" si="33">G83*D83</f>
        <v>0</v>
      </c>
      <c r="I83" s="50" t="s">
        <v>5</v>
      </c>
      <c r="J83" s="113" t="str">
        <f ca="1">IFERROR(__xludf.DUMMYFUNCTION("VLOOKUP($B182,IMPORTRANGE(""https://docs.google.com/spreadsheets/d/1MKJD7C_CKp2_LboH2OnBUiaFdTdVMOriGBVcGuRPO9Y/edit#gid=0=share"", ""Baza!A:K""),7,0)"),"001978")</f>
        <v>001978</v>
      </c>
    </row>
    <row r="84" spans="1:10" ht="14.4" x14ac:dyDescent="0.3">
      <c r="A84" s="41">
        <f t="shared" ref="A84:A85" si="34">A83+1</f>
        <v>55</v>
      </c>
      <c r="B84" s="42">
        <v>9788327105097</v>
      </c>
      <c r="C84" s="48" t="s">
        <v>151</v>
      </c>
      <c r="D84" s="52">
        <v>39.9</v>
      </c>
      <c r="E84" s="44">
        <f t="shared" si="32"/>
        <v>25.94</v>
      </c>
      <c r="F84" s="45">
        <v>5</v>
      </c>
      <c r="G84" s="46"/>
      <c r="H84" s="84">
        <f t="shared" si="33"/>
        <v>0</v>
      </c>
      <c r="I84" s="47" t="s">
        <v>5</v>
      </c>
      <c r="J84" s="115" t="str">
        <f ca="1">IFERROR(__xludf.DUMMYFUNCTION("VLOOKUP($B183,IMPORTRANGE(""https://docs.google.com/spreadsheets/d/1MKJD7C_CKp2_LboH2OnBUiaFdTdVMOriGBVcGuRPO9Y/edit#gid=0=share"", ""Baza!A:K""),7,0)"),"000880")</f>
        <v>000880</v>
      </c>
    </row>
    <row r="85" spans="1:10" ht="14.4" x14ac:dyDescent="0.3">
      <c r="A85" s="41">
        <f t="shared" si="34"/>
        <v>56</v>
      </c>
      <c r="B85" s="42">
        <v>9788327105127</v>
      </c>
      <c r="C85" s="43" t="s">
        <v>152</v>
      </c>
      <c r="D85" s="52">
        <v>39.9</v>
      </c>
      <c r="E85" s="44">
        <f t="shared" si="32"/>
        <v>25.94</v>
      </c>
      <c r="F85" s="45">
        <f ca="1">IFERROR(__xludf.DUMMYFUNCTION("VLOOKUP($B184,IMPORTRANGE(""https://docs.google.com/spreadsheets/d/12kJeOb3DLWWg8o7sW1QICZ8qsKlcv9OfYjohcMhA61g/edit#gid=1661307685=share"", ""PUBLICAT!A:K""),5,0)"),5)</f>
        <v>5</v>
      </c>
      <c r="G85" s="46"/>
      <c r="H85" s="84">
        <f t="shared" si="33"/>
        <v>0</v>
      </c>
      <c r="I85" s="47" t="s">
        <v>5</v>
      </c>
      <c r="J85" s="115" t="str">
        <f ca="1">IFERROR(__xludf.DUMMYFUNCTION("VLOOKUP($B184,IMPORTRANGE(""https://docs.google.com/spreadsheets/d/1MKJD7C_CKp2_LboH2OnBUiaFdTdVMOriGBVcGuRPO9Y/edit#gid=0=share"", ""Baza!A:K""),7,0)"),"002111")</f>
        <v>002111</v>
      </c>
    </row>
    <row r="86" spans="1:10" s="70" customFormat="1" ht="36.6" customHeight="1" x14ac:dyDescent="0.15">
      <c r="A86" s="95" t="s">
        <v>323</v>
      </c>
      <c r="B86" s="96" t="s">
        <v>323</v>
      </c>
      <c r="C86" s="97" t="s">
        <v>323</v>
      </c>
      <c r="D86" s="98" t="s">
        <v>323</v>
      </c>
      <c r="E86" s="99" t="s">
        <v>323</v>
      </c>
      <c r="F86" s="100" t="s">
        <v>323</v>
      </c>
      <c r="G86" s="101" t="s">
        <v>323</v>
      </c>
      <c r="H86" s="102" t="s">
        <v>323</v>
      </c>
      <c r="I86" s="104" t="s">
        <v>323</v>
      </c>
      <c r="J86" s="103" t="s">
        <v>323</v>
      </c>
    </row>
    <row r="87" spans="1:10" ht="28.8" customHeight="1" x14ac:dyDescent="0.3">
      <c r="A87" s="77"/>
      <c r="B87" s="78"/>
      <c r="C87" s="78"/>
      <c r="D87" s="65" t="s">
        <v>192</v>
      </c>
      <c r="E87" s="78"/>
      <c r="F87" s="78"/>
      <c r="G87" s="78"/>
      <c r="H87" s="85"/>
      <c r="I87" s="78"/>
      <c r="J87" s="79"/>
    </row>
    <row r="88" spans="1:10" ht="28.2" customHeight="1" x14ac:dyDescent="0.3">
      <c r="A88" s="91" t="s">
        <v>0</v>
      </c>
      <c r="B88" s="91" t="s">
        <v>1</v>
      </c>
      <c r="C88" s="92" t="s">
        <v>2</v>
      </c>
      <c r="D88" s="11" t="s">
        <v>163</v>
      </c>
      <c r="E88" s="11" t="s">
        <v>164</v>
      </c>
      <c r="F88" s="8" t="s">
        <v>3</v>
      </c>
      <c r="G88" s="17" t="s">
        <v>165</v>
      </c>
      <c r="H88" s="17" t="s">
        <v>166</v>
      </c>
      <c r="I88" s="17" t="s">
        <v>180</v>
      </c>
      <c r="J88" s="9" t="s">
        <v>4</v>
      </c>
    </row>
    <row r="89" spans="1:10" ht="15" customHeight="1" x14ac:dyDescent="0.3">
      <c r="A89" s="2">
        <f>A85+1</f>
        <v>57</v>
      </c>
      <c r="B89" s="7">
        <v>9788327106940</v>
      </c>
      <c r="C89" s="15" t="s">
        <v>153</v>
      </c>
      <c r="D89" s="6">
        <v>49.9</v>
      </c>
      <c r="E89" s="44">
        <f t="shared" ref="E89:E91" si="35">ROUND(D89*0.65,2)</f>
        <v>32.44</v>
      </c>
      <c r="F89" s="3">
        <f ca="1">IFERROR(__xludf.DUMMYFUNCTION("VLOOKUP($B185,IMPORTRANGE(""https://docs.google.com/spreadsheets/d/12kJeOb3DLWWg8o7sW1QICZ8qsKlcv9OfYjohcMhA61g/edit#gid=1661307685=share"", ""PUBLICAT!A:K""),5,0)"),5)</f>
        <v>5</v>
      </c>
      <c r="G89" s="19"/>
      <c r="H89" s="84">
        <f t="shared" ref="H89:H91" si="36">G89*D89</f>
        <v>0</v>
      </c>
      <c r="I89" s="47" t="s">
        <v>5</v>
      </c>
      <c r="J89" s="4" t="str">
        <f ca="1">IFERROR(__xludf.DUMMYFUNCTION("VLOOKUP($B185,IMPORTRANGE(""https://docs.google.com/spreadsheets/d/1MKJD7C_CKp2_LboH2OnBUiaFdTdVMOriGBVcGuRPO9Y/edit#gid=0=share"", ""Baza!A:K""),7,0)"),"001531")</f>
        <v>001531</v>
      </c>
    </row>
    <row r="90" spans="1:10" ht="15" customHeight="1" x14ac:dyDescent="0.3">
      <c r="A90" s="2">
        <f t="shared" ref="A90:A91" si="37">A89+1</f>
        <v>58</v>
      </c>
      <c r="B90" s="7">
        <v>9788327106957</v>
      </c>
      <c r="C90" s="15" t="s">
        <v>154</v>
      </c>
      <c r="D90" s="6">
        <v>49.9</v>
      </c>
      <c r="E90" s="44">
        <f t="shared" si="35"/>
        <v>32.44</v>
      </c>
      <c r="F90" s="3">
        <f ca="1">IFERROR(__xludf.DUMMYFUNCTION("VLOOKUP($B186,IMPORTRANGE(""https://docs.google.com/spreadsheets/d/12kJeOb3DLWWg8o7sW1QICZ8qsKlcv9OfYjohcMhA61g/edit#gid=1661307685=share"", ""PUBLICAT!A:K""),5,0)"),5)</f>
        <v>5</v>
      </c>
      <c r="G90" s="19"/>
      <c r="H90" s="84">
        <f t="shared" si="36"/>
        <v>0</v>
      </c>
      <c r="I90" s="47" t="s">
        <v>5</v>
      </c>
      <c r="J90" s="4" t="str">
        <f ca="1">IFERROR(__xludf.DUMMYFUNCTION("VLOOKUP($B186,IMPORTRANGE(""https://docs.google.com/spreadsheets/d/1MKJD7C_CKp2_LboH2OnBUiaFdTdVMOriGBVcGuRPO9Y/edit#gid=0=share"", ""Baza!A:K""),7,0)"),"001530")</f>
        <v>001530</v>
      </c>
    </row>
    <row r="91" spans="1:10" ht="15" customHeight="1" x14ac:dyDescent="0.3">
      <c r="A91" s="2">
        <f t="shared" si="37"/>
        <v>59</v>
      </c>
      <c r="B91" s="7">
        <v>9788327105752</v>
      </c>
      <c r="C91" s="15" t="s">
        <v>155</v>
      </c>
      <c r="D91" s="6">
        <v>49.9</v>
      </c>
      <c r="E91" s="44">
        <f t="shared" si="35"/>
        <v>32.44</v>
      </c>
      <c r="F91" s="3">
        <f ca="1">IFERROR(__xludf.DUMMYFUNCTION("VLOOKUP($B187,IMPORTRANGE(""https://docs.google.com/spreadsheets/d/12kJeOb3DLWWg8o7sW1QICZ8qsKlcv9OfYjohcMhA61g/edit#gid=1661307685=share"", ""PUBLICAT!A:K""),5,0)"),5)</f>
        <v>5</v>
      </c>
      <c r="G91" s="19"/>
      <c r="H91" s="84">
        <f t="shared" si="36"/>
        <v>0</v>
      </c>
      <c r="I91" s="47" t="s">
        <v>5</v>
      </c>
      <c r="J91" s="4" t="str">
        <f ca="1">IFERROR(__xludf.DUMMYFUNCTION("VLOOKUP($B187,IMPORTRANGE(""https://docs.google.com/spreadsheets/d/1MKJD7C_CKp2_LboH2OnBUiaFdTdVMOriGBVcGuRPO9Y/edit#gid=0=share"", ""Baza!A:K""),7,0)"),"001317")</f>
        <v>001317</v>
      </c>
    </row>
    <row r="92" spans="1:10" ht="28.8" customHeight="1" x14ac:dyDescent="0.3">
      <c r="A92" s="77"/>
      <c r="B92" s="78"/>
      <c r="C92" s="78"/>
      <c r="D92" s="65" t="s">
        <v>193</v>
      </c>
      <c r="E92" s="78"/>
      <c r="F92" s="78"/>
      <c r="G92" s="78"/>
      <c r="H92" s="85"/>
      <c r="I92" s="78"/>
      <c r="J92" s="79"/>
    </row>
    <row r="93" spans="1:10" ht="28.2" customHeight="1" x14ac:dyDescent="0.3">
      <c r="A93" s="1" t="s">
        <v>0</v>
      </c>
      <c r="B93" s="1" t="s">
        <v>1</v>
      </c>
      <c r="C93" s="28" t="s">
        <v>2</v>
      </c>
      <c r="D93" s="10" t="s">
        <v>163</v>
      </c>
      <c r="E93" s="11" t="s">
        <v>164</v>
      </c>
      <c r="F93" s="8" t="s">
        <v>3</v>
      </c>
      <c r="G93" s="17" t="s">
        <v>165</v>
      </c>
      <c r="H93" s="17" t="s">
        <v>166</v>
      </c>
      <c r="I93" s="17" t="s">
        <v>180</v>
      </c>
      <c r="J93" s="9" t="s">
        <v>4</v>
      </c>
    </row>
    <row r="94" spans="1:10" ht="14.4" x14ac:dyDescent="0.3">
      <c r="A94" s="2">
        <f>A91+1</f>
        <v>60</v>
      </c>
      <c r="B94" s="7">
        <v>9788327106834</v>
      </c>
      <c r="C94" s="16" t="s">
        <v>138</v>
      </c>
      <c r="D94" s="6">
        <v>49.9</v>
      </c>
      <c r="E94" s="44">
        <f t="shared" ref="E94:E99" si="38">ROUND(D94*0.65,2)</f>
        <v>32.44</v>
      </c>
      <c r="F94" s="3">
        <f ca="1">IFERROR(__xludf.DUMMYFUNCTION("VLOOKUP($B170,IMPORTRANGE(""https://docs.google.com/spreadsheets/d/12kJeOb3DLWWg8o7sW1QICZ8qsKlcv9OfYjohcMhA61g/edit#gid=1661307685=share"", ""PUBLICAT!A:K""),5,0)"),5)</f>
        <v>5</v>
      </c>
      <c r="G94" s="19"/>
      <c r="H94" s="84">
        <f t="shared" ref="H94:H99" si="39">G94*D94</f>
        <v>0</v>
      </c>
      <c r="I94" s="47" t="s">
        <v>5</v>
      </c>
      <c r="J94" s="4" t="str">
        <f ca="1">IFERROR(__xludf.DUMMYFUNCTION("VLOOKUP($B170,IMPORTRANGE(""https://docs.google.com/spreadsheets/d/1MKJD7C_CKp2_LboH2OnBUiaFdTdVMOriGBVcGuRPO9Y/edit#gid=0=share"", ""Baza!A:K""),7,0)"),"000798")</f>
        <v>000798</v>
      </c>
    </row>
    <row r="95" spans="1:10" ht="14.4" x14ac:dyDescent="0.3">
      <c r="A95" s="2">
        <f t="shared" ref="A95:A98" si="40">A94+1</f>
        <v>61</v>
      </c>
      <c r="B95" s="7">
        <v>9788327106841</v>
      </c>
      <c r="C95" s="15" t="s">
        <v>139</v>
      </c>
      <c r="D95" s="6">
        <v>49.9</v>
      </c>
      <c r="E95" s="44">
        <f t="shared" si="38"/>
        <v>32.44</v>
      </c>
      <c r="F95" s="3">
        <f ca="1">IFERROR(__xludf.DUMMYFUNCTION("VLOOKUP($B171,IMPORTRANGE(""https://docs.google.com/spreadsheets/d/12kJeOb3DLWWg8o7sW1QICZ8qsKlcv9OfYjohcMhA61g/edit#gid=1661307685=share"", ""PUBLICAT!A:K""),5,0)"),5)</f>
        <v>5</v>
      </c>
      <c r="G95" s="19"/>
      <c r="H95" s="84">
        <f t="shared" si="39"/>
        <v>0</v>
      </c>
      <c r="I95" s="47" t="s">
        <v>5</v>
      </c>
      <c r="J95" s="4" t="str">
        <f ca="1">IFERROR(__xludf.DUMMYFUNCTION("VLOOKUP($B171,IMPORTRANGE(""https://docs.google.com/spreadsheets/d/1MKJD7C_CKp2_LboH2OnBUiaFdTdVMOriGBVcGuRPO9Y/edit#gid=0=share"", ""Baza!A:K""),7,0)"),"000799")</f>
        <v>000799</v>
      </c>
    </row>
    <row r="96" spans="1:10" ht="14.4" x14ac:dyDescent="0.3">
      <c r="A96" s="2">
        <f t="shared" si="40"/>
        <v>62</v>
      </c>
      <c r="B96" s="7">
        <v>9788327106827</v>
      </c>
      <c r="C96" s="16" t="s">
        <v>140</v>
      </c>
      <c r="D96" s="6">
        <v>49.9</v>
      </c>
      <c r="E96" s="44">
        <f t="shared" si="38"/>
        <v>32.44</v>
      </c>
      <c r="F96" s="3">
        <f ca="1">IFERROR(__xludf.DUMMYFUNCTION("VLOOKUP($B172,IMPORTRANGE(""https://docs.google.com/spreadsheets/d/12kJeOb3DLWWg8o7sW1QICZ8qsKlcv9OfYjohcMhA61g/edit#gid=1661307685=share"", ""PUBLICAT!A:K""),5,0)"),5)</f>
        <v>5</v>
      </c>
      <c r="G96" s="19"/>
      <c r="H96" s="84">
        <f t="shared" si="39"/>
        <v>0</v>
      </c>
      <c r="I96" s="47" t="s">
        <v>5</v>
      </c>
      <c r="J96" s="4" t="str">
        <f ca="1">IFERROR(__xludf.DUMMYFUNCTION("VLOOKUP($B172,IMPORTRANGE(""https://docs.google.com/spreadsheets/d/1MKJD7C_CKp2_LboH2OnBUiaFdTdVMOriGBVcGuRPO9Y/edit#gid=0=share"", ""Baza!A:K""),7,0)"),"000800")</f>
        <v>000800</v>
      </c>
    </row>
    <row r="97" spans="1:10" ht="14.4" x14ac:dyDescent="0.3">
      <c r="A97" s="2">
        <f t="shared" si="40"/>
        <v>63</v>
      </c>
      <c r="B97" s="7">
        <v>9788327106469</v>
      </c>
      <c r="C97" s="15" t="s">
        <v>141</v>
      </c>
      <c r="D97" s="6">
        <v>49.9</v>
      </c>
      <c r="E97" s="44">
        <f t="shared" si="38"/>
        <v>32.44</v>
      </c>
      <c r="F97" s="3">
        <f ca="1">IFERROR(__xludf.DUMMYFUNCTION("VLOOKUP($B173,IMPORTRANGE(""https://docs.google.com/spreadsheets/d/12kJeOb3DLWWg8o7sW1QICZ8qsKlcv9OfYjohcMhA61g/edit#gid=1661307685=share"", ""PUBLICAT!A:K""),5,0)"),5)</f>
        <v>5</v>
      </c>
      <c r="G97" s="19"/>
      <c r="H97" s="84">
        <f t="shared" si="39"/>
        <v>0</v>
      </c>
      <c r="I97" s="47" t="s">
        <v>5</v>
      </c>
      <c r="J97" s="4" t="str">
        <f ca="1">IFERROR(__xludf.DUMMYFUNCTION("VLOOKUP($B173,IMPORTRANGE(""https://docs.google.com/spreadsheets/d/1MKJD7C_CKp2_LboH2OnBUiaFdTdVMOriGBVcGuRPO9Y/edit#gid=0=share"", ""Baza!A:K""),7,0)"),"000795")</f>
        <v>000795</v>
      </c>
    </row>
    <row r="98" spans="1:10" ht="14.4" x14ac:dyDescent="0.3">
      <c r="A98" s="2">
        <f t="shared" si="40"/>
        <v>64</v>
      </c>
      <c r="B98" s="7">
        <v>9788327106506</v>
      </c>
      <c r="C98" s="15" t="s">
        <v>194</v>
      </c>
      <c r="D98" s="6">
        <v>49.9</v>
      </c>
      <c r="E98" s="44">
        <f t="shared" si="38"/>
        <v>32.44</v>
      </c>
      <c r="F98" s="3">
        <f ca="1">IFERROR(__xludf.DUMMYFUNCTION("VLOOKUP($B174,IMPORTRANGE(""https://docs.google.com/spreadsheets/d/12kJeOb3DLWWg8o7sW1QICZ8qsKlcv9OfYjohcMhA61g/edit#gid=1661307685=share"", ""PUBLICAT!A:K""),5,0)"),5)</f>
        <v>5</v>
      </c>
      <c r="G98" s="19"/>
      <c r="H98" s="84">
        <f t="shared" si="39"/>
        <v>0</v>
      </c>
      <c r="I98" s="47" t="s">
        <v>5</v>
      </c>
      <c r="J98" s="63" t="s">
        <v>365</v>
      </c>
    </row>
    <row r="99" spans="1:10" ht="14.4" x14ac:dyDescent="0.3">
      <c r="A99" s="2">
        <f t="shared" ref="A99" si="41">A98+1</f>
        <v>65</v>
      </c>
      <c r="B99" s="7">
        <v>9788327106513</v>
      </c>
      <c r="C99" s="15" t="s">
        <v>142</v>
      </c>
      <c r="D99" s="6">
        <v>49.9</v>
      </c>
      <c r="E99" s="44">
        <f t="shared" si="38"/>
        <v>32.44</v>
      </c>
      <c r="F99" s="3">
        <f ca="1">IFERROR(__xludf.DUMMYFUNCTION("VLOOKUP($B174,IMPORTRANGE(""https://docs.google.com/spreadsheets/d/12kJeOb3DLWWg8o7sW1QICZ8qsKlcv9OfYjohcMhA61g/edit#gid=1661307685=share"", ""PUBLICAT!A:K""),5,0)"),5)</f>
        <v>5</v>
      </c>
      <c r="G99" s="19"/>
      <c r="H99" s="84">
        <f t="shared" si="39"/>
        <v>0</v>
      </c>
      <c r="I99" s="47" t="s">
        <v>5</v>
      </c>
      <c r="J99" s="115" t="str">
        <f ca="1">IFERROR(__xludf.DUMMYFUNCTION("VLOOKUP($B174,IMPORTRANGE(""https://docs.google.com/spreadsheets/d/1MKJD7C_CKp2_LboH2OnBUiaFdTdVMOriGBVcGuRPO9Y/edit#gid=0=share"", ""Baza!A:K""),7,0)"),"000797")</f>
        <v>000797</v>
      </c>
    </row>
    <row r="100" spans="1:10" ht="28.8" customHeight="1" x14ac:dyDescent="0.3">
      <c r="A100" s="77"/>
      <c r="B100" s="78"/>
      <c r="C100" s="78"/>
      <c r="D100" s="65" t="s">
        <v>195</v>
      </c>
      <c r="E100" s="78"/>
      <c r="F100" s="78"/>
      <c r="G100" s="78"/>
      <c r="H100" s="85"/>
      <c r="I100" s="78"/>
      <c r="J100" s="79"/>
    </row>
    <row r="101" spans="1:10" ht="28.2" customHeight="1" x14ac:dyDescent="0.3">
      <c r="A101" s="1" t="s">
        <v>0</v>
      </c>
      <c r="B101" s="1" t="s">
        <v>1</v>
      </c>
      <c r="C101" s="28" t="s">
        <v>2</v>
      </c>
      <c r="D101" s="10" t="s">
        <v>163</v>
      </c>
      <c r="E101" s="11" t="s">
        <v>164</v>
      </c>
      <c r="F101" s="8" t="s">
        <v>3</v>
      </c>
      <c r="G101" s="17" t="s">
        <v>165</v>
      </c>
      <c r="H101" s="17" t="s">
        <v>166</v>
      </c>
      <c r="I101" s="17" t="s">
        <v>180</v>
      </c>
      <c r="J101" s="9" t="s">
        <v>4</v>
      </c>
    </row>
    <row r="102" spans="1:10" ht="14.4" x14ac:dyDescent="0.3">
      <c r="A102" s="2">
        <f>A99+1</f>
        <v>66</v>
      </c>
      <c r="B102" s="7">
        <v>9788327107107</v>
      </c>
      <c r="C102" s="15" t="s">
        <v>25</v>
      </c>
      <c r="D102" s="6">
        <v>39.9</v>
      </c>
      <c r="E102" s="44">
        <f t="shared" ref="E102:E105" si="42">ROUND(D102*0.65,2)</f>
        <v>25.94</v>
      </c>
      <c r="F102" s="3">
        <f ca="1">IFERROR(__xludf.DUMMYFUNCTION("VLOOKUP($B33,IMPORTRANGE(""https://docs.google.com/spreadsheets/d/12kJeOb3DLWWg8o7sW1QICZ8qsKlcv9OfYjohcMhA61g/edit#gid=1661307685=share"", ""PUBLICAT!A:K""),5,0)"),5)</f>
        <v>5</v>
      </c>
      <c r="G102" s="19"/>
      <c r="H102" s="84">
        <f t="shared" ref="H102:H105" si="43">G102*D102</f>
        <v>0</v>
      </c>
      <c r="I102" s="5" t="s">
        <v>5</v>
      </c>
      <c r="J102" s="4" t="str">
        <f ca="1">IFERROR(__xludf.DUMMYFUNCTION("VLOOKUP($B33,IMPORTRANGE(""https://docs.google.com/spreadsheets/d/1MKJD7C_CKp2_LboH2OnBUiaFdTdVMOriGBVcGuRPO9Y/edit#gid=0=share"", ""Baza!A:K""),7,0)"),"001522")</f>
        <v>001522</v>
      </c>
    </row>
    <row r="103" spans="1:10" ht="14.4" x14ac:dyDescent="0.3">
      <c r="A103" s="2">
        <f t="shared" ref="A103:A104" si="44">A102+1</f>
        <v>67</v>
      </c>
      <c r="B103" s="7">
        <v>9788327107497</v>
      </c>
      <c r="C103" s="49" t="s">
        <v>198</v>
      </c>
      <c r="D103" s="6">
        <v>39.9</v>
      </c>
      <c r="E103" s="44">
        <f t="shared" si="42"/>
        <v>25.94</v>
      </c>
      <c r="F103" s="3">
        <f ca="1">IFERROR(__xludf.DUMMYFUNCTION("VLOOKUP($B40,IMPORTRANGE(""https://docs.google.com/spreadsheets/d/12kJeOb3DLWWg8o7sW1QICZ8qsKlcv9OfYjohcMhA61g/edit#gid=1661307685=share"", ""PUBLICAT!A:K""),5,0)"),5)</f>
        <v>5</v>
      </c>
      <c r="G103" s="19"/>
      <c r="H103" s="84">
        <f t="shared" si="43"/>
        <v>0</v>
      </c>
      <c r="I103" s="5" t="s">
        <v>5</v>
      </c>
      <c r="J103" s="63" t="s">
        <v>366</v>
      </c>
    </row>
    <row r="104" spans="1:10" ht="14.4" x14ac:dyDescent="0.3">
      <c r="A104" s="2">
        <f t="shared" si="44"/>
        <v>68</v>
      </c>
      <c r="B104" s="7">
        <v>9788327106568</v>
      </c>
      <c r="C104" s="49" t="s">
        <v>197</v>
      </c>
      <c r="D104" s="6">
        <v>39.9</v>
      </c>
      <c r="E104" s="44">
        <f t="shared" si="42"/>
        <v>25.94</v>
      </c>
      <c r="F104" s="3">
        <f ca="1">IFERROR(__xludf.DUMMYFUNCTION("VLOOKUP($B40,IMPORTRANGE(""https://docs.google.com/spreadsheets/d/12kJeOb3DLWWg8o7sW1QICZ8qsKlcv9OfYjohcMhA61g/edit#gid=1661307685=share"", ""PUBLICAT!A:K""),5,0)"),5)</f>
        <v>5</v>
      </c>
      <c r="G104" s="19"/>
      <c r="H104" s="84">
        <f t="shared" si="43"/>
        <v>0</v>
      </c>
      <c r="I104" s="5" t="s">
        <v>5</v>
      </c>
      <c r="J104" s="4" t="str">
        <f ca="1">IFERROR(__xludf.DUMMYFUNCTION("VLOOKUP($B40,IMPORTRANGE(""https://docs.google.com/spreadsheets/d/1MKJD7C_CKp2_LboH2OnBUiaFdTdVMOriGBVcGuRPO9Y/edit#gid=0=share"", ""Baza!A:K""),7,0)"),"000806")</f>
        <v>000806</v>
      </c>
    </row>
    <row r="105" spans="1:10" ht="15" customHeight="1" x14ac:dyDescent="0.3">
      <c r="A105" s="2">
        <f t="shared" ref="A105" si="45">A104+1</f>
        <v>69</v>
      </c>
      <c r="B105" s="7">
        <v>9788327106476</v>
      </c>
      <c r="C105" s="49" t="s">
        <v>196</v>
      </c>
      <c r="D105" s="6">
        <v>39.9</v>
      </c>
      <c r="E105" s="44">
        <f t="shared" si="42"/>
        <v>25.94</v>
      </c>
      <c r="F105" s="3">
        <f ca="1">IFERROR(__xludf.DUMMYFUNCTION("VLOOKUP($B60,IMPORTRANGE(""https://docs.google.com/spreadsheets/d/12kJeOb3DLWWg8o7sW1QICZ8qsKlcv9OfYjohcMhA61g/edit#gid=1661307685=share"", ""PUBLICAT!A:K""),5,0)"),5)</f>
        <v>5</v>
      </c>
      <c r="G105" s="19"/>
      <c r="H105" s="84">
        <f t="shared" si="43"/>
        <v>0</v>
      </c>
      <c r="I105" s="5" t="s">
        <v>5</v>
      </c>
      <c r="J105" s="115" t="str">
        <f ca="1">IFERROR(__xludf.DUMMYFUNCTION("VLOOKUP($B60,IMPORTRANGE(""https://docs.google.com/spreadsheets/d/1MKJD7C_CKp2_LboH2OnBUiaFdTdVMOriGBVcGuRPO9Y/edit#gid=0=share"", ""Baza!A:K""),7,0)"),"001324")</f>
        <v>001324</v>
      </c>
    </row>
    <row r="106" spans="1:10" ht="28.8" customHeight="1" x14ac:dyDescent="0.3">
      <c r="A106" s="77"/>
      <c r="B106" s="78"/>
      <c r="C106" s="78"/>
      <c r="D106" s="65" t="s">
        <v>199</v>
      </c>
      <c r="E106" s="78"/>
      <c r="F106" s="78"/>
      <c r="G106" s="78"/>
      <c r="H106" s="85"/>
      <c r="I106" s="78"/>
      <c r="J106" s="79"/>
    </row>
    <row r="107" spans="1:10" ht="28.2" customHeight="1" x14ac:dyDescent="0.3">
      <c r="A107" s="1" t="s">
        <v>0</v>
      </c>
      <c r="B107" s="1" t="s">
        <v>1</v>
      </c>
      <c r="C107" s="28" t="s">
        <v>2</v>
      </c>
      <c r="D107" s="10" t="s">
        <v>163</v>
      </c>
      <c r="E107" s="11" t="s">
        <v>164</v>
      </c>
      <c r="F107" s="8" t="s">
        <v>3</v>
      </c>
      <c r="G107" s="17" t="s">
        <v>165</v>
      </c>
      <c r="H107" s="17" t="s">
        <v>166</v>
      </c>
      <c r="I107" s="17" t="s">
        <v>180</v>
      </c>
      <c r="J107" s="9" t="s">
        <v>4</v>
      </c>
    </row>
    <row r="108" spans="1:10" ht="14.4" x14ac:dyDescent="0.3">
      <c r="A108" s="2">
        <f>A105+1</f>
        <v>70</v>
      </c>
      <c r="B108" s="7">
        <v>9788327106728</v>
      </c>
      <c r="C108" s="16" t="s">
        <v>71</v>
      </c>
      <c r="D108" s="6">
        <v>44.9</v>
      </c>
      <c r="E108" s="44">
        <f t="shared" ref="E108:E110" si="46">ROUND(D108*0.65,2)</f>
        <v>29.19</v>
      </c>
      <c r="F108" s="3">
        <f ca="1">IFERROR(__xludf.DUMMYFUNCTION("VLOOKUP($B88,IMPORTRANGE(""https://docs.google.com/spreadsheets/d/12kJeOb3DLWWg8o7sW1QICZ8qsKlcv9OfYjohcMhA61g/edit#gid=1661307685=share"", ""PUBLICAT!A:K""),5,0)"),5)</f>
        <v>5</v>
      </c>
      <c r="G108" s="19"/>
      <c r="H108" s="84">
        <f t="shared" ref="H108:H110" si="47">G108*D108</f>
        <v>0</v>
      </c>
      <c r="I108" s="5" t="s">
        <v>5</v>
      </c>
      <c r="J108" s="4" t="str">
        <f ca="1">IFERROR(__xludf.DUMMYFUNCTION("VLOOKUP($B88,IMPORTRANGE(""https://docs.google.com/spreadsheets/d/1MKJD7C_CKp2_LboH2OnBUiaFdTdVMOriGBVcGuRPO9Y/edit#gid=0=share"", ""Baza!A:K""),7,0)"),"002211")</f>
        <v>002211</v>
      </c>
    </row>
    <row r="109" spans="1:10" ht="14.4" x14ac:dyDescent="0.3">
      <c r="A109" s="2">
        <f t="shared" ref="A109:A110" si="48">A108+1</f>
        <v>71</v>
      </c>
      <c r="B109" s="7">
        <v>9788327106285</v>
      </c>
      <c r="C109" s="15" t="s">
        <v>72</v>
      </c>
      <c r="D109" s="6">
        <v>39.9</v>
      </c>
      <c r="E109" s="44">
        <f t="shared" si="46"/>
        <v>25.94</v>
      </c>
      <c r="F109" s="3">
        <f ca="1">IFERROR(__xludf.DUMMYFUNCTION("VLOOKUP($B89,IMPORTRANGE(""https://docs.google.com/spreadsheets/d/12kJeOb3DLWWg8o7sW1QICZ8qsKlcv9OfYjohcMhA61g/edit#gid=1661307685=share"", ""PUBLICAT!A:K""),5,0)"),5)</f>
        <v>5</v>
      </c>
      <c r="G109" s="19"/>
      <c r="H109" s="84">
        <f t="shared" si="47"/>
        <v>0</v>
      </c>
      <c r="I109" s="5" t="s">
        <v>5</v>
      </c>
      <c r="J109" s="4" t="str">
        <f ca="1">IFERROR(__xludf.DUMMYFUNCTION("VLOOKUP($B89,IMPORTRANGE(""https://docs.google.com/spreadsheets/d/1MKJD7C_CKp2_LboH2OnBUiaFdTdVMOriGBVcGuRPO9Y/edit#gid=0=share"", ""Baza!A:K""),7,0)"),"000790")</f>
        <v>000790</v>
      </c>
    </row>
    <row r="110" spans="1:10" ht="14.4" x14ac:dyDescent="0.3">
      <c r="A110" s="2">
        <f t="shared" si="48"/>
        <v>72</v>
      </c>
      <c r="B110" s="7">
        <v>9788327105981</v>
      </c>
      <c r="C110" s="15" t="s">
        <v>31</v>
      </c>
      <c r="D110" s="6">
        <v>39.9</v>
      </c>
      <c r="E110" s="44">
        <f t="shared" si="46"/>
        <v>25.94</v>
      </c>
      <c r="F110" s="3">
        <f ca="1">IFERROR(__xludf.DUMMYFUNCTION("VLOOKUP($B43,IMPORTRANGE(""https://docs.google.com/spreadsheets/d/12kJeOb3DLWWg8o7sW1QICZ8qsKlcv9OfYjohcMhA61g/edit#gid=1661307685=share"", ""PUBLICAT!A:K""),5,0)"),5)</f>
        <v>5</v>
      </c>
      <c r="G110" s="19"/>
      <c r="H110" s="84">
        <f t="shared" si="47"/>
        <v>0</v>
      </c>
      <c r="I110" s="5" t="s">
        <v>5</v>
      </c>
      <c r="J110" s="4" t="str">
        <f ca="1">IFERROR(__xludf.DUMMYFUNCTION("VLOOKUP($B43,IMPORTRANGE(""https://docs.google.com/spreadsheets/d/1MKJD7C_CKp2_LboH2OnBUiaFdTdVMOriGBVcGuRPO9Y/edit#gid=0=share"", ""Baza!A:K""),7,0)"),"000840")</f>
        <v>000840</v>
      </c>
    </row>
    <row r="111" spans="1:10" ht="28.8" customHeight="1" x14ac:dyDescent="0.3">
      <c r="A111" s="77"/>
      <c r="B111" s="78"/>
      <c r="C111" s="78"/>
      <c r="D111" s="65" t="s">
        <v>200</v>
      </c>
      <c r="E111" s="78"/>
      <c r="F111" s="78"/>
      <c r="G111" s="78"/>
      <c r="H111" s="85"/>
      <c r="I111" s="78"/>
      <c r="J111" s="79"/>
    </row>
    <row r="112" spans="1:10" ht="28.2" customHeight="1" x14ac:dyDescent="0.3">
      <c r="A112" s="1" t="s">
        <v>0</v>
      </c>
      <c r="B112" s="1" t="s">
        <v>1</v>
      </c>
      <c r="C112" s="28" t="s">
        <v>2</v>
      </c>
      <c r="D112" s="10" t="s">
        <v>163</v>
      </c>
      <c r="E112" s="11" t="s">
        <v>164</v>
      </c>
      <c r="F112" s="8" t="s">
        <v>3</v>
      </c>
      <c r="G112" s="17" t="s">
        <v>165</v>
      </c>
      <c r="H112" s="17" t="s">
        <v>166</v>
      </c>
      <c r="I112" s="17" t="s">
        <v>180</v>
      </c>
      <c r="J112" s="9" t="s">
        <v>4</v>
      </c>
    </row>
    <row r="113" spans="1:10" ht="14.4" x14ac:dyDescent="0.3">
      <c r="A113" s="2">
        <f>A110+1</f>
        <v>73</v>
      </c>
      <c r="B113" s="7">
        <v>9788327107268</v>
      </c>
      <c r="C113" s="14" t="s">
        <v>16</v>
      </c>
      <c r="D113" s="6">
        <v>49.9</v>
      </c>
      <c r="E113" s="44">
        <f t="shared" ref="E113:E115" si="49">ROUND(D113*0.65,2)</f>
        <v>32.44</v>
      </c>
      <c r="F113" s="3">
        <v>5</v>
      </c>
      <c r="G113" s="19"/>
      <c r="H113" s="84">
        <f t="shared" ref="H113:H115" si="50">G113*D113</f>
        <v>0</v>
      </c>
      <c r="I113" s="5" t="s">
        <v>5</v>
      </c>
      <c r="J113" s="4" t="s">
        <v>201</v>
      </c>
    </row>
    <row r="114" spans="1:10" ht="14.4" x14ac:dyDescent="0.3">
      <c r="A114" s="2">
        <f t="shared" ref="A114:A115" si="51">A113+1</f>
        <v>74</v>
      </c>
      <c r="B114" s="7">
        <v>9788327106377</v>
      </c>
      <c r="C114" s="15" t="s">
        <v>32</v>
      </c>
      <c r="D114" s="6">
        <v>49.9</v>
      </c>
      <c r="E114" s="44">
        <f t="shared" si="49"/>
        <v>32.44</v>
      </c>
      <c r="F114" s="3">
        <v>5</v>
      </c>
      <c r="G114" s="19"/>
      <c r="H114" s="84">
        <f t="shared" si="50"/>
        <v>0</v>
      </c>
      <c r="I114" s="5" t="s">
        <v>5</v>
      </c>
      <c r="J114" s="4" t="s">
        <v>202</v>
      </c>
    </row>
    <row r="115" spans="1:10" ht="14.4" x14ac:dyDescent="0.3">
      <c r="A115" s="2">
        <f t="shared" si="51"/>
        <v>75</v>
      </c>
      <c r="B115" s="7">
        <v>9788327106179</v>
      </c>
      <c r="C115" s="15" t="s">
        <v>46</v>
      </c>
      <c r="D115" s="6">
        <v>34.9</v>
      </c>
      <c r="E115" s="44">
        <f t="shared" si="49"/>
        <v>22.69</v>
      </c>
      <c r="F115" s="3">
        <v>5</v>
      </c>
      <c r="G115" s="19"/>
      <c r="H115" s="84">
        <f t="shared" si="50"/>
        <v>0</v>
      </c>
      <c r="I115" s="5" t="s">
        <v>5</v>
      </c>
      <c r="J115" s="4" t="s">
        <v>203</v>
      </c>
    </row>
    <row r="116" spans="1:10" ht="28.8" customHeight="1" x14ac:dyDescent="0.3">
      <c r="A116" s="77"/>
      <c r="B116" s="78"/>
      <c r="C116" s="78"/>
      <c r="D116" s="65" t="s">
        <v>204</v>
      </c>
      <c r="E116" s="78"/>
      <c r="F116" s="78"/>
      <c r="G116" s="78"/>
      <c r="H116" s="85"/>
      <c r="I116" s="78"/>
      <c r="J116" s="79"/>
    </row>
    <row r="117" spans="1:10" ht="28.2" customHeight="1" x14ac:dyDescent="0.3">
      <c r="A117" s="1" t="s">
        <v>0</v>
      </c>
      <c r="B117" s="1" t="s">
        <v>1</v>
      </c>
      <c r="C117" s="28" t="s">
        <v>2</v>
      </c>
      <c r="D117" s="10" t="s">
        <v>163</v>
      </c>
      <c r="E117" s="11" t="s">
        <v>164</v>
      </c>
      <c r="F117" s="8" t="s">
        <v>3</v>
      </c>
      <c r="G117" s="17" t="s">
        <v>165</v>
      </c>
      <c r="H117" s="17" t="s">
        <v>166</v>
      </c>
      <c r="I117" s="17" t="s">
        <v>180</v>
      </c>
      <c r="J117" s="9" t="s">
        <v>4</v>
      </c>
    </row>
    <row r="118" spans="1:10" ht="14.4" customHeight="1" x14ac:dyDescent="0.3">
      <c r="A118" s="2">
        <f>A115+1</f>
        <v>76</v>
      </c>
      <c r="B118" s="7">
        <v>9788327106322</v>
      </c>
      <c r="C118" s="15" t="s">
        <v>39</v>
      </c>
      <c r="D118" s="6">
        <v>44.9</v>
      </c>
      <c r="E118" s="44">
        <f t="shared" ref="E118:E120" si="52">ROUND(D118*0.65,2)</f>
        <v>29.19</v>
      </c>
      <c r="F118" s="3">
        <f ca="1">IFERROR(__xludf.DUMMYFUNCTION("VLOOKUP($B52,IMPORTRANGE(""https://docs.google.com/spreadsheets/d/12kJeOb3DLWWg8o7sW1QICZ8qsKlcv9OfYjohcMhA61g/edit#gid=1661307685=share"", ""PUBLICAT!A:K""),5,0)"),5)</f>
        <v>5</v>
      </c>
      <c r="G118" s="19"/>
      <c r="H118" s="84">
        <f t="shared" ref="H118:H120" si="53">G118*D118</f>
        <v>0</v>
      </c>
      <c r="I118" s="5" t="s">
        <v>5</v>
      </c>
      <c r="J118" s="4" t="str">
        <f ca="1">IFERROR(__xludf.DUMMYFUNCTION("VLOOKUP($B52,IMPORTRANGE(""https://docs.google.com/spreadsheets/d/1MKJD7C_CKp2_LboH2OnBUiaFdTdVMOriGBVcGuRPO9Y/edit#gid=0=share"", ""Baza!A:K""),7,0)"),"001975")</f>
        <v>001975</v>
      </c>
    </row>
    <row r="119" spans="1:10" ht="14.4" customHeight="1" x14ac:dyDescent="0.3">
      <c r="A119" s="2">
        <f t="shared" ref="A119:A120" si="54">A118+1</f>
        <v>77</v>
      </c>
      <c r="B119" s="7">
        <v>9788327104380</v>
      </c>
      <c r="C119" s="15" t="s">
        <v>40</v>
      </c>
      <c r="D119" s="6">
        <v>44.9</v>
      </c>
      <c r="E119" s="44">
        <f t="shared" si="52"/>
        <v>29.19</v>
      </c>
      <c r="F119" s="3">
        <f ca="1">IFERROR(__xludf.DUMMYFUNCTION("VLOOKUP($B53,IMPORTRANGE(""https://docs.google.com/spreadsheets/d/12kJeOb3DLWWg8o7sW1QICZ8qsKlcv9OfYjohcMhA61g/edit#gid=1661307685=share"", ""PUBLICAT!A:K""),5,0)"),5)</f>
        <v>5</v>
      </c>
      <c r="G119" s="19"/>
      <c r="H119" s="84">
        <f t="shared" si="53"/>
        <v>0</v>
      </c>
      <c r="I119" s="5" t="s">
        <v>5</v>
      </c>
      <c r="J119" s="4" t="str">
        <f ca="1">IFERROR(__xludf.DUMMYFUNCTION("VLOOKUP($B53,IMPORTRANGE(""https://docs.google.com/spreadsheets/d/1MKJD7C_CKp2_LboH2OnBUiaFdTdVMOriGBVcGuRPO9Y/edit#gid=0=share"", ""Baza!A:K""),7,0)"),"000875")</f>
        <v>000875</v>
      </c>
    </row>
    <row r="120" spans="1:10" ht="14.4" customHeight="1" x14ac:dyDescent="0.3">
      <c r="A120" s="2">
        <f t="shared" si="54"/>
        <v>78</v>
      </c>
      <c r="B120" s="7">
        <v>9788327104397</v>
      </c>
      <c r="C120" s="16" t="s">
        <v>41</v>
      </c>
      <c r="D120" s="6">
        <v>44.9</v>
      </c>
      <c r="E120" s="44">
        <f t="shared" si="52"/>
        <v>29.19</v>
      </c>
      <c r="F120" s="3">
        <f ca="1">IFERROR(__xludf.DUMMYFUNCTION("VLOOKUP($B54,IMPORTRANGE(""https://docs.google.com/spreadsheets/d/12kJeOb3DLWWg8o7sW1QICZ8qsKlcv9OfYjohcMhA61g/edit#gid=1661307685=share"", ""PUBLICAT!A:K""),5,0)"),5)</f>
        <v>5</v>
      </c>
      <c r="G120" s="19"/>
      <c r="H120" s="84">
        <f t="shared" si="53"/>
        <v>0</v>
      </c>
      <c r="I120" s="5" t="s">
        <v>5</v>
      </c>
      <c r="J120" s="4" t="str">
        <f ca="1">IFERROR(__xludf.DUMMYFUNCTION("VLOOKUP($B54,IMPORTRANGE(""https://docs.google.com/spreadsheets/d/1MKJD7C_CKp2_LboH2OnBUiaFdTdVMOriGBVcGuRPO9Y/edit#gid=0=share"", ""Baza!A:K""),7,0)"),"002166")</f>
        <v>002166</v>
      </c>
    </row>
    <row r="121" spans="1:10" ht="28.8" customHeight="1" x14ac:dyDescent="0.3">
      <c r="A121" s="77"/>
      <c r="B121" s="78"/>
      <c r="C121" s="78"/>
      <c r="D121" s="65" t="s">
        <v>205</v>
      </c>
      <c r="E121" s="78"/>
      <c r="F121" s="78"/>
      <c r="G121" s="78"/>
      <c r="H121" s="85"/>
      <c r="I121" s="78"/>
      <c r="J121" s="79"/>
    </row>
    <row r="122" spans="1:10" ht="28.2" customHeight="1" x14ac:dyDescent="0.3">
      <c r="A122" s="1" t="s">
        <v>0</v>
      </c>
      <c r="B122" s="1" t="s">
        <v>1</v>
      </c>
      <c r="C122" s="28" t="s">
        <v>2</v>
      </c>
      <c r="D122" s="10" t="s">
        <v>163</v>
      </c>
      <c r="E122" s="11" t="s">
        <v>164</v>
      </c>
      <c r="F122" s="8" t="s">
        <v>3</v>
      </c>
      <c r="G122" s="17" t="s">
        <v>165</v>
      </c>
      <c r="H122" s="17" t="s">
        <v>166</v>
      </c>
      <c r="I122" s="17" t="s">
        <v>180</v>
      </c>
      <c r="J122" s="9" t="s">
        <v>4</v>
      </c>
    </row>
    <row r="123" spans="1:10" ht="15" customHeight="1" x14ac:dyDescent="0.3">
      <c r="A123" s="2">
        <f>A120+1</f>
        <v>79</v>
      </c>
      <c r="B123" s="7">
        <v>9788327106247</v>
      </c>
      <c r="C123" s="14" t="s">
        <v>14</v>
      </c>
      <c r="D123" s="6">
        <v>34.9</v>
      </c>
      <c r="E123" s="44">
        <f t="shared" ref="E123:E125" si="55">ROUND(D123*0.65,2)</f>
        <v>22.69</v>
      </c>
      <c r="F123" s="3">
        <v>5</v>
      </c>
      <c r="G123" s="19"/>
      <c r="H123" s="84">
        <f t="shared" ref="H123:H125" si="56">G123*D123</f>
        <v>0</v>
      </c>
      <c r="I123" s="5" t="s">
        <v>5</v>
      </c>
      <c r="J123" s="4" t="s">
        <v>206</v>
      </c>
    </row>
    <row r="124" spans="1:10" ht="15" customHeight="1" x14ac:dyDescent="0.3">
      <c r="A124" s="2">
        <f t="shared" ref="A124:A125" si="57">A123+1</f>
        <v>80</v>
      </c>
      <c r="B124" s="7">
        <v>9788327106254</v>
      </c>
      <c r="C124" s="15" t="s">
        <v>26</v>
      </c>
      <c r="D124" s="6">
        <v>34.9</v>
      </c>
      <c r="E124" s="44">
        <f t="shared" si="55"/>
        <v>22.69</v>
      </c>
      <c r="F124" s="3">
        <v>5</v>
      </c>
      <c r="G124" s="19"/>
      <c r="H124" s="84">
        <f t="shared" si="56"/>
        <v>0</v>
      </c>
      <c r="I124" s="5" t="s">
        <v>5</v>
      </c>
      <c r="J124" s="4" t="s">
        <v>207</v>
      </c>
    </row>
    <row r="125" spans="1:10" ht="15" customHeight="1" x14ac:dyDescent="0.3">
      <c r="A125" s="2">
        <f t="shared" si="57"/>
        <v>81</v>
      </c>
      <c r="B125" s="7">
        <v>9788327107275</v>
      </c>
      <c r="C125" s="15" t="s">
        <v>208</v>
      </c>
      <c r="D125" s="6">
        <v>34.9</v>
      </c>
      <c r="E125" s="44">
        <f t="shared" si="55"/>
        <v>22.69</v>
      </c>
      <c r="F125" s="3">
        <v>5</v>
      </c>
      <c r="G125" s="19"/>
      <c r="H125" s="84">
        <f t="shared" si="56"/>
        <v>0</v>
      </c>
      <c r="I125" s="5" t="s">
        <v>5</v>
      </c>
      <c r="J125" s="63" t="s">
        <v>367</v>
      </c>
    </row>
    <row r="126" spans="1:10" ht="28.8" customHeight="1" x14ac:dyDescent="0.3">
      <c r="A126" s="65"/>
      <c r="B126" s="78"/>
      <c r="C126" s="78"/>
      <c r="D126" s="65" t="s">
        <v>211</v>
      </c>
      <c r="E126" s="78"/>
      <c r="F126" s="78"/>
      <c r="G126" s="78"/>
      <c r="H126" s="85"/>
      <c r="I126" s="78"/>
      <c r="J126" s="79"/>
    </row>
    <row r="127" spans="1:10" ht="28.2" customHeight="1" x14ac:dyDescent="0.3">
      <c r="A127" s="1" t="s">
        <v>0</v>
      </c>
      <c r="B127" s="1" t="s">
        <v>1</v>
      </c>
      <c r="C127" s="28" t="s">
        <v>2</v>
      </c>
      <c r="D127" s="10" t="s">
        <v>163</v>
      </c>
      <c r="E127" s="11" t="s">
        <v>164</v>
      </c>
      <c r="F127" s="8" t="s">
        <v>3</v>
      </c>
      <c r="G127" s="17" t="s">
        <v>165</v>
      </c>
      <c r="H127" s="17" t="s">
        <v>166</v>
      </c>
      <c r="I127" s="17" t="s">
        <v>180</v>
      </c>
      <c r="J127" s="9" t="s">
        <v>4</v>
      </c>
    </row>
    <row r="128" spans="1:10" ht="14.4" customHeight="1" x14ac:dyDescent="0.3">
      <c r="A128" s="2">
        <f>A125+1</f>
        <v>82</v>
      </c>
      <c r="B128" s="7">
        <v>9788327106520</v>
      </c>
      <c r="C128" s="15" t="s">
        <v>42</v>
      </c>
      <c r="D128" s="6">
        <v>39.9</v>
      </c>
      <c r="E128" s="44">
        <f t="shared" ref="E128:E132" si="58">ROUND(D128*0.65,2)</f>
        <v>25.94</v>
      </c>
      <c r="F128" s="3">
        <f ca="1">IFERROR(__xludf.DUMMYFUNCTION("VLOOKUP($B55,IMPORTRANGE(""https://docs.google.com/spreadsheets/d/12kJeOb3DLWWg8o7sW1QICZ8qsKlcv9OfYjohcMhA61g/edit#gid=1661307685=share"", ""PUBLICAT!A:K""),5,0)"),5)</f>
        <v>5</v>
      </c>
      <c r="G128" s="19"/>
      <c r="H128" s="84">
        <f t="shared" ref="H128:H132" si="59">G128*D128</f>
        <v>0</v>
      </c>
      <c r="I128" s="5" t="s">
        <v>5</v>
      </c>
      <c r="J128" s="4" t="str">
        <f ca="1">IFERROR(__xludf.DUMMYFUNCTION("VLOOKUP($B55,IMPORTRANGE(""https://docs.google.com/spreadsheets/d/1MKJD7C_CKp2_LboH2OnBUiaFdTdVMOriGBVcGuRPO9Y/edit#gid=0=share"", ""Baza!A:K""),7,0)"),"000876")</f>
        <v>000876</v>
      </c>
    </row>
    <row r="129" spans="1:10" ht="14.4" customHeight="1" x14ac:dyDescent="0.3">
      <c r="A129" s="2">
        <f t="shared" ref="A129:A132" si="60">A128+1</f>
        <v>83</v>
      </c>
      <c r="B129" s="7">
        <v>9788327106537</v>
      </c>
      <c r="C129" s="15" t="s">
        <v>43</v>
      </c>
      <c r="D129" s="6">
        <v>39.9</v>
      </c>
      <c r="E129" s="44">
        <f t="shared" si="58"/>
        <v>25.94</v>
      </c>
      <c r="F129" s="3">
        <f ca="1">IFERROR(__xludf.DUMMYFUNCTION("VLOOKUP($B56,IMPORTRANGE(""https://docs.google.com/spreadsheets/d/12kJeOb3DLWWg8o7sW1QICZ8qsKlcv9OfYjohcMhA61g/edit#gid=1661307685=share"", ""PUBLICAT!A:K""),5,0)"),5)</f>
        <v>5</v>
      </c>
      <c r="G129" s="19"/>
      <c r="H129" s="84">
        <f t="shared" si="59"/>
        <v>0</v>
      </c>
      <c r="I129" s="5" t="s">
        <v>5</v>
      </c>
      <c r="J129" s="4" t="str">
        <f ca="1">IFERROR(__xludf.DUMMYFUNCTION("VLOOKUP($B56,IMPORTRANGE(""https://docs.google.com/spreadsheets/d/1MKJD7C_CKp2_LboH2OnBUiaFdTdVMOriGBVcGuRPO9Y/edit#gid=0=share"", ""Baza!A:K""),7,0)"),"000877")</f>
        <v>000877</v>
      </c>
    </row>
    <row r="130" spans="1:10" ht="14.4" customHeight="1" x14ac:dyDescent="0.3">
      <c r="A130" s="2">
        <f t="shared" si="60"/>
        <v>84</v>
      </c>
      <c r="B130" s="7">
        <v>9788327107336</v>
      </c>
      <c r="C130" s="15" t="s">
        <v>44</v>
      </c>
      <c r="D130" s="6">
        <v>39.9</v>
      </c>
      <c r="E130" s="44">
        <f t="shared" si="58"/>
        <v>25.94</v>
      </c>
      <c r="F130" s="3">
        <v>5</v>
      </c>
      <c r="G130" s="19"/>
      <c r="H130" s="84">
        <f t="shared" si="59"/>
        <v>0</v>
      </c>
      <c r="I130" s="5" t="s">
        <v>5</v>
      </c>
      <c r="J130" s="4" t="str">
        <f ca="1">IFERROR(__xludf.DUMMYFUNCTION("VLOOKUP($B57,IMPORTRANGE(""https://docs.google.com/spreadsheets/d/1MKJD7C_CKp2_LboH2OnBUiaFdTdVMOriGBVcGuRPO9Y/edit#gid=0=share"", ""Baza!A:K""),7,0)"),"001994")</f>
        <v>001994</v>
      </c>
    </row>
    <row r="131" spans="1:10" ht="14.4" customHeight="1" x14ac:dyDescent="0.3">
      <c r="A131" s="2">
        <f t="shared" si="60"/>
        <v>85</v>
      </c>
      <c r="B131" s="7">
        <v>9788327107329</v>
      </c>
      <c r="C131" s="15" t="s">
        <v>45</v>
      </c>
      <c r="D131" s="6">
        <v>39.9</v>
      </c>
      <c r="E131" s="44">
        <f t="shared" si="58"/>
        <v>25.94</v>
      </c>
      <c r="F131" s="3">
        <f ca="1">IFERROR(__xludf.DUMMYFUNCTION("VLOOKUP($B58,IMPORTRANGE(""https://docs.google.com/spreadsheets/d/12kJeOb3DLWWg8o7sW1QICZ8qsKlcv9OfYjohcMhA61g/edit#gid=1661307685=share"", ""PUBLICAT!A:K""),5,0)"),5)</f>
        <v>5</v>
      </c>
      <c r="G131" s="19"/>
      <c r="H131" s="84">
        <f t="shared" si="59"/>
        <v>0</v>
      </c>
      <c r="I131" s="5" t="s">
        <v>5</v>
      </c>
      <c r="J131" s="4" t="str">
        <f ca="1">IFERROR(__xludf.DUMMYFUNCTION("VLOOKUP($B58,IMPORTRANGE(""https://docs.google.com/spreadsheets/d/1MKJD7C_CKp2_LboH2OnBUiaFdTdVMOriGBVcGuRPO9Y/edit#gid=0=share"", ""Baza!A:K""),7,0)"),"001976")</f>
        <v>001976</v>
      </c>
    </row>
    <row r="132" spans="1:10" ht="15" customHeight="1" x14ac:dyDescent="0.3">
      <c r="A132" s="2">
        <f t="shared" si="60"/>
        <v>86</v>
      </c>
      <c r="B132" s="7">
        <v>9788327107633</v>
      </c>
      <c r="C132" s="49" t="s">
        <v>212</v>
      </c>
      <c r="D132" s="6">
        <v>39.9</v>
      </c>
      <c r="E132" s="44">
        <f t="shared" si="58"/>
        <v>25.94</v>
      </c>
      <c r="F132" s="3">
        <f ca="1">IFERROR(__xludf.DUMMYFUNCTION("VLOOKUP($B58,IMPORTRANGE(""https://docs.google.com/spreadsheets/d/12kJeOb3DLWWg8o7sW1QICZ8qsKlcv9OfYjohcMhA61g/edit#gid=1661307685=share"", ""PUBLICAT!A:K""),5,0)"),5)</f>
        <v>5</v>
      </c>
      <c r="G132" s="19"/>
      <c r="H132" s="84">
        <f t="shared" si="59"/>
        <v>0</v>
      </c>
      <c r="I132" s="5" t="s">
        <v>5</v>
      </c>
      <c r="J132" s="63" t="s">
        <v>368</v>
      </c>
    </row>
    <row r="133" spans="1:10" ht="28.8" customHeight="1" x14ac:dyDescent="0.3">
      <c r="A133" s="77"/>
      <c r="B133" s="78"/>
      <c r="C133" s="78"/>
      <c r="D133" s="65" t="s">
        <v>213</v>
      </c>
      <c r="E133" s="78"/>
      <c r="F133" s="78"/>
      <c r="G133" s="78"/>
      <c r="H133" s="85"/>
      <c r="I133" s="78"/>
      <c r="J133" s="79"/>
    </row>
    <row r="134" spans="1:10" ht="28.2" customHeight="1" x14ac:dyDescent="0.3">
      <c r="A134" s="1" t="s">
        <v>0</v>
      </c>
      <c r="B134" s="1" t="s">
        <v>1</v>
      </c>
      <c r="C134" s="28" t="s">
        <v>2</v>
      </c>
      <c r="D134" s="10" t="s">
        <v>163</v>
      </c>
      <c r="E134" s="11" t="s">
        <v>164</v>
      </c>
      <c r="F134" s="8" t="s">
        <v>3</v>
      </c>
      <c r="G134" s="17" t="s">
        <v>165</v>
      </c>
      <c r="H134" s="17" t="s">
        <v>166</v>
      </c>
      <c r="I134" s="17" t="s">
        <v>180</v>
      </c>
      <c r="J134" s="9" t="s">
        <v>4</v>
      </c>
    </row>
    <row r="135" spans="1:10" ht="15" customHeight="1" x14ac:dyDescent="0.3">
      <c r="A135" s="2">
        <f>A132+1</f>
        <v>87</v>
      </c>
      <c r="B135" s="7">
        <v>9788327107022</v>
      </c>
      <c r="C135" s="15" t="s">
        <v>214</v>
      </c>
      <c r="D135" s="6">
        <v>59.9</v>
      </c>
      <c r="E135" s="44">
        <f t="shared" ref="E135:E136" si="61">ROUND(D135*0.65,2)</f>
        <v>38.94</v>
      </c>
      <c r="F135" s="3">
        <f ca="1">IFERROR(__xludf.DUMMYFUNCTION("VLOOKUP($B55,IMPORTRANGE(""https://docs.google.com/spreadsheets/d/12kJeOb3DLWWg8o7sW1QICZ8qsKlcv9OfYjohcMhA61g/edit#gid=1661307685=share"", ""PUBLICAT!A:K""),5,0)"),5)</f>
        <v>5</v>
      </c>
      <c r="G135" s="19"/>
      <c r="H135" s="84">
        <f t="shared" ref="H135:H136" si="62">G135*D135</f>
        <v>0</v>
      </c>
      <c r="I135" s="5" t="s">
        <v>5</v>
      </c>
      <c r="J135" s="63" t="s">
        <v>369</v>
      </c>
    </row>
    <row r="136" spans="1:10" ht="15" customHeight="1" x14ac:dyDescent="0.3">
      <c r="A136" s="2">
        <f t="shared" ref="A136" si="63">A135+1</f>
        <v>88</v>
      </c>
      <c r="B136" s="7">
        <v>9788327107220</v>
      </c>
      <c r="C136" s="15" t="s">
        <v>215</v>
      </c>
      <c r="D136" s="6">
        <v>59.9</v>
      </c>
      <c r="E136" s="44">
        <f t="shared" si="61"/>
        <v>38.94</v>
      </c>
      <c r="F136" s="3">
        <f ca="1">IFERROR(__xludf.DUMMYFUNCTION("VLOOKUP($B56,IMPORTRANGE(""https://docs.google.com/spreadsheets/d/12kJeOb3DLWWg8o7sW1QICZ8qsKlcv9OfYjohcMhA61g/edit#gid=1661307685=share"", ""PUBLICAT!A:K""),5,0)"),5)</f>
        <v>5</v>
      </c>
      <c r="G136" s="19"/>
      <c r="H136" s="84">
        <f t="shared" si="62"/>
        <v>0</v>
      </c>
      <c r="I136" s="5" t="s">
        <v>5</v>
      </c>
      <c r="J136" s="63" t="s">
        <v>370</v>
      </c>
    </row>
    <row r="137" spans="1:10" ht="28.8" customHeight="1" x14ac:dyDescent="0.3">
      <c r="A137" s="77"/>
      <c r="B137" s="78"/>
      <c r="C137" s="78"/>
      <c r="D137" s="65" t="s">
        <v>216</v>
      </c>
      <c r="E137" s="78"/>
      <c r="F137" s="78"/>
      <c r="G137" s="78"/>
      <c r="H137" s="85"/>
      <c r="I137" s="78"/>
      <c r="J137" s="79"/>
    </row>
    <row r="138" spans="1:10" ht="28.2" customHeight="1" x14ac:dyDescent="0.3">
      <c r="A138" s="1" t="s">
        <v>0</v>
      </c>
      <c r="B138" s="1" t="s">
        <v>1</v>
      </c>
      <c r="C138" s="28" t="s">
        <v>2</v>
      </c>
      <c r="D138" s="10" t="s">
        <v>163</v>
      </c>
      <c r="E138" s="11" t="s">
        <v>164</v>
      </c>
      <c r="F138" s="8" t="s">
        <v>3</v>
      </c>
      <c r="G138" s="17" t="s">
        <v>165</v>
      </c>
      <c r="H138" s="17" t="s">
        <v>166</v>
      </c>
      <c r="I138" s="17" t="s">
        <v>180</v>
      </c>
      <c r="J138" s="9" t="s">
        <v>4</v>
      </c>
    </row>
    <row r="139" spans="1:10" ht="15" customHeight="1" x14ac:dyDescent="0.3">
      <c r="A139" s="2">
        <f>A136+1</f>
        <v>89</v>
      </c>
      <c r="B139" s="7">
        <v>9788327107459</v>
      </c>
      <c r="C139" s="16" t="s">
        <v>33</v>
      </c>
      <c r="D139" s="6">
        <v>39.9</v>
      </c>
      <c r="E139" s="44">
        <f t="shared" ref="E139:E144" si="64">ROUND(D139*0.65,2)</f>
        <v>25.94</v>
      </c>
      <c r="F139" s="3">
        <f ca="1">IFERROR(__xludf.DUMMYFUNCTION("VLOOKUP($B45,IMPORTRANGE(""https://docs.google.com/spreadsheets/d/12kJeOb3DLWWg8o7sW1QICZ8qsKlcv9OfYjohcMhA61g/edit#gid=1661307685=share"", ""PUBLICAT!A:K""),5,0)"),5)</f>
        <v>5</v>
      </c>
      <c r="G139" s="19"/>
      <c r="H139" s="84">
        <f t="shared" ref="H139:H144" si="65">G139*D139</f>
        <v>0</v>
      </c>
      <c r="I139" s="5" t="s">
        <v>5</v>
      </c>
      <c r="J139" s="4" t="str">
        <f ca="1">IFERROR(__xludf.DUMMYFUNCTION("VLOOKUP($B45,IMPORTRANGE(""https://docs.google.com/spreadsheets/d/1MKJD7C_CKp2_LboH2OnBUiaFdTdVMOriGBVcGuRPO9Y/edit#gid=0=share"", ""Baza!A:K""),7,0)"),"002165")</f>
        <v>002165</v>
      </c>
    </row>
    <row r="140" spans="1:10" ht="15" customHeight="1" x14ac:dyDescent="0.3">
      <c r="A140" s="2">
        <f t="shared" ref="A140:A144" si="66">A139+1</f>
        <v>90</v>
      </c>
      <c r="B140" s="7">
        <v>9788327106933</v>
      </c>
      <c r="C140" s="15" t="s">
        <v>34</v>
      </c>
      <c r="D140" s="6">
        <v>39.9</v>
      </c>
      <c r="E140" s="44">
        <f t="shared" si="64"/>
        <v>25.94</v>
      </c>
      <c r="F140" s="3">
        <f ca="1">IFERROR(__xludf.DUMMYFUNCTION("VLOOKUP($B46,IMPORTRANGE(""https://docs.google.com/spreadsheets/d/12kJeOb3DLWWg8o7sW1QICZ8qsKlcv9OfYjohcMhA61g/edit#gid=1661307685=share"", ""PUBLICAT!A:K""),5,0)"),5)</f>
        <v>5</v>
      </c>
      <c r="G140" s="19"/>
      <c r="H140" s="84">
        <f t="shared" si="65"/>
        <v>0</v>
      </c>
      <c r="I140" s="5" t="s">
        <v>5</v>
      </c>
      <c r="J140" s="4" t="str">
        <f ca="1">IFERROR(__xludf.DUMMYFUNCTION("VLOOKUP($B46,IMPORTRANGE(""https://docs.google.com/spreadsheets/d/1MKJD7C_CKp2_LboH2OnBUiaFdTdVMOriGBVcGuRPO9Y/edit#gid=0=share"", ""Baza!A:K""),7,0)"),"001322")</f>
        <v>001322</v>
      </c>
    </row>
    <row r="141" spans="1:10" ht="15" customHeight="1" x14ac:dyDescent="0.3">
      <c r="A141" s="2">
        <f t="shared" si="66"/>
        <v>91</v>
      </c>
      <c r="B141" s="7">
        <v>9788327106186</v>
      </c>
      <c r="C141" s="15" t="s">
        <v>35</v>
      </c>
      <c r="D141" s="6">
        <v>34.9</v>
      </c>
      <c r="E141" s="44">
        <f t="shared" si="64"/>
        <v>22.69</v>
      </c>
      <c r="F141" s="3">
        <f ca="1">IFERROR(__xludf.DUMMYFUNCTION("VLOOKUP($B47,IMPORTRANGE(""https://docs.google.com/spreadsheets/d/12kJeOb3DLWWg8o7sW1QICZ8qsKlcv9OfYjohcMhA61g/edit#gid=1661307685=share"", ""PUBLICAT!A:K""),5,0)"),5)</f>
        <v>5</v>
      </c>
      <c r="G141" s="19"/>
      <c r="H141" s="84">
        <f t="shared" si="65"/>
        <v>0</v>
      </c>
      <c r="I141" s="5" t="s">
        <v>5</v>
      </c>
      <c r="J141" s="4" t="str">
        <f ca="1">IFERROR(__xludf.DUMMYFUNCTION("VLOOKUP($B47,IMPORTRANGE(""https://docs.google.com/spreadsheets/d/1MKJD7C_CKp2_LboH2OnBUiaFdTdVMOriGBVcGuRPO9Y/edit#gid=0=share"", ""Baza!A:K""),7,0)"),"000866")</f>
        <v>000866</v>
      </c>
    </row>
    <row r="142" spans="1:10" ht="15" customHeight="1" x14ac:dyDescent="0.3">
      <c r="A142" s="20">
        <f t="shared" si="66"/>
        <v>92</v>
      </c>
      <c r="B142" s="21">
        <v>9788327105769</v>
      </c>
      <c r="C142" s="27" t="s">
        <v>36</v>
      </c>
      <c r="D142" s="23">
        <v>39.9</v>
      </c>
      <c r="E142" s="44">
        <f t="shared" si="64"/>
        <v>25.94</v>
      </c>
      <c r="F142" s="24">
        <f ca="1">IFERROR(__xludf.DUMMYFUNCTION("VLOOKUP($B48,IMPORTRANGE(""https://docs.google.com/spreadsheets/d/12kJeOb3DLWWg8o7sW1QICZ8qsKlcv9OfYjohcMhA61g/edit#gid=1661307685=share"", ""PUBLICAT!A:K""),5,0)"),5)</f>
        <v>5</v>
      </c>
      <c r="G142" s="25"/>
      <c r="H142" s="84">
        <f t="shared" si="65"/>
        <v>0</v>
      </c>
      <c r="I142" s="26" t="s">
        <v>5</v>
      </c>
      <c r="J142" s="113" t="str">
        <f ca="1">IFERROR(__xludf.DUMMYFUNCTION("VLOOKUP($B48,IMPORTRANGE(""https://docs.google.com/spreadsheets/d/1MKJD7C_CKp2_LboH2OnBUiaFdTdVMOriGBVcGuRPO9Y/edit#gid=0=share"", ""Baza!A:K""),7,0)"),"000869")</f>
        <v>000869</v>
      </c>
    </row>
    <row r="143" spans="1:10" ht="15" customHeight="1" x14ac:dyDescent="0.3">
      <c r="A143" s="41">
        <f t="shared" si="66"/>
        <v>93</v>
      </c>
      <c r="B143" s="42">
        <v>9788327106643</v>
      </c>
      <c r="C143" s="48" t="s">
        <v>37</v>
      </c>
      <c r="D143" s="52">
        <v>39.9</v>
      </c>
      <c r="E143" s="44">
        <f t="shared" si="64"/>
        <v>25.94</v>
      </c>
      <c r="F143" s="45">
        <f ca="1">IFERROR(__xludf.DUMMYFUNCTION("VLOOKUP($B49,IMPORTRANGE(""https://docs.google.com/spreadsheets/d/12kJeOb3DLWWg8o7sW1QICZ8qsKlcv9OfYjohcMhA61g/edit#gid=1661307685=share"", ""PUBLICAT!A:K""),5,0)"),5)</f>
        <v>5</v>
      </c>
      <c r="G143" s="46"/>
      <c r="H143" s="84">
        <f t="shared" si="65"/>
        <v>0</v>
      </c>
      <c r="I143" s="47" t="s">
        <v>5</v>
      </c>
      <c r="J143" s="115" t="str">
        <f ca="1">IFERROR(__xludf.DUMMYFUNCTION("VLOOKUP($B49,IMPORTRANGE(""https://docs.google.com/spreadsheets/d/1MKJD7C_CKp2_LboH2OnBUiaFdTdVMOriGBVcGuRPO9Y/edit#gid=0=share"", ""Baza!A:K""),7,0)"),"000867")</f>
        <v>000867</v>
      </c>
    </row>
    <row r="144" spans="1:10" ht="15" customHeight="1" x14ac:dyDescent="0.3">
      <c r="A144" s="41">
        <f t="shared" si="66"/>
        <v>94</v>
      </c>
      <c r="B144" s="42">
        <v>9788327105790</v>
      </c>
      <c r="C144" s="48" t="s">
        <v>38</v>
      </c>
      <c r="D144" s="52">
        <v>29.9</v>
      </c>
      <c r="E144" s="44">
        <f t="shared" si="64"/>
        <v>19.440000000000001</v>
      </c>
      <c r="F144" s="45">
        <f ca="1">IFERROR(__xludf.DUMMYFUNCTION("VLOOKUP($B50,IMPORTRANGE(""https://docs.google.com/spreadsheets/d/12kJeOb3DLWWg8o7sW1QICZ8qsKlcv9OfYjohcMhA61g/edit#gid=1661307685=share"", ""PUBLICAT!A:K""),5,0)"),5)</f>
        <v>5</v>
      </c>
      <c r="G144" s="46"/>
      <c r="H144" s="84">
        <f t="shared" si="65"/>
        <v>0</v>
      </c>
      <c r="I144" s="47" t="s">
        <v>5</v>
      </c>
      <c r="J144" s="115" t="str">
        <f ca="1">IFERROR(__xludf.DUMMYFUNCTION("VLOOKUP($B50,IMPORTRANGE(""https://docs.google.com/spreadsheets/d/1MKJD7C_CKp2_LboH2OnBUiaFdTdVMOriGBVcGuRPO9Y/edit#gid=0=share"", ""Baza!A:K""),7,0)"),"000868")</f>
        <v>000868</v>
      </c>
    </row>
    <row r="145" spans="1:10" s="70" customFormat="1" ht="39.6" customHeight="1" x14ac:dyDescent="0.15">
      <c r="A145" s="95" t="s">
        <v>323</v>
      </c>
      <c r="B145" s="96" t="s">
        <v>323</v>
      </c>
      <c r="C145" s="97" t="s">
        <v>323</v>
      </c>
      <c r="D145" s="98" t="s">
        <v>323</v>
      </c>
      <c r="E145" s="99" t="s">
        <v>323</v>
      </c>
      <c r="F145" s="100" t="s">
        <v>323</v>
      </c>
      <c r="G145" s="101" t="s">
        <v>323</v>
      </c>
      <c r="H145" s="102" t="s">
        <v>323</v>
      </c>
      <c r="I145" s="104" t="s">
        <v>323</v>
      </c>
      <c r="J145" s="103" t="s">
        <v>323</v>
      </c>
    </row>
    <row r="146" spans="1:10" ht="28.8" customHeight="1" x14ac:dyDescent="0.3">
      <c r="A146" s="77"/>
      <c r="B146" s="78"/>
      <c r="C146" s="78"/>
      <c r="D146" s="66" t="s">
        <v>217</v>
      </c>
      <c r="E146" s="78"/>
      <c r="F146" s="78"/>
      <c r="G146" s="78"/>
      <c r="H146" s="85"/>
      <c r="I146" s="78"/>
      <c r="J146" s="79"/>
    </row>
    <row r="147" spans="1:10" ht="28.2" customHeight="1" x14ac:dyDescent="0.3">
      <c r="A147" s="91" t="s">
        <v>0</v>
      </c>
      <c r="B147" s="91" t="s">
        <v>1</v>
      </c>
      <c r="C147" s="92" t="s">
        <v>2</v>
      </c>
      <c r="D147" s="11" t="s">
        <v>163</v>
      </c>
      <c r="E147" s="11" t="s">
        <v>164</v>
      </c>
      <c r="F147" s="8" t="s">
        <v>3</v>
      </c>
      <c r="G147" s="17" t="s">
        <v>165</v>
      </c>
      <c r="H147" s="17" t="s">
        <v>166</v>
      </c>
      <c r="I147" s="17" t="s">
        <v>180</v>
      </c>
      <c r="J147" s="9" t="s">
        <v>4</v>
      </c>
    </row>
    <row r="148" spans="1:10" ht="15" customHeight="1" x14ac:dyDescent="0.3">
      <c r="A148" s="2">
        <f>A144+1</f>
        <v>95</v>
      </c>
      <c r="B148" s="7">
        <v>9788327106551</v>
      </c>
      <c r="C148" s="16" t="s">
        <v>27</v>
      </c>
      <c r="D148" s="6">
        <v>39.9</v>
      </c>
      <c r="E148" s="44">
        <f t="shared" ref="E148:E149" si="67">ROUND(D148*0.65,2)</f>
        <v>25.94</v>
      </c>
      <c r="F148" s="3">
        <f ca="1">IFERROR(__xludf.DUMMYFUNCTION("VLOOKUP($B45,IMPORTRANGE(""https://docs.google.com/spreadsheets/d/12kJeOb3DLWWg8o7sW1QICZ8qsKlcv9OfYjohcMhA61g/edit#gid=1661307685=share"", ""PUBLICAT!A:K""),5,0)"),5)</f>
        <v>5</v>
      </c>
      <c r="G148" s="19"/>
      <c r="H148" s="84">
        <f t="shared" ref="H148:H149" si="68">G148*D148</f>
        <v>0</v>
      </c>
      <c r="I148" s="5" t="s">
        <v>5</v>
      </c>
      <c r="J148" s="63" t="s">
        <v>371</v>
      </c>
    </row>
    <row r="149" spans="1:10" ht="15" customHeight="1" x14ac:dyDescent="0.3">
      <c r="A149" s="2">
        <f t="shared" ref="A149" si="69">A148+1</f>
        <v>96</v>
      </c>
      <c r="B149" s="7">
        <v>9788327106544</v>
      </c>
      <c r="C149" s="15" t="s">
        <v>28</v>
      </c>
      <c r="D149" s="6">
        <v>39.9</v>
      </c>
      <c r="E149" s="44">
        <f t="shared" si="67"/>
        <v>25.94</v>
      </c>
      <c r="F149" s="3">
        <f ca="1">IFERROR(__xludf.DUMMYFUNCTION("VLOOKUP($B46,IMPORTRANGE(""https://docs.google.com/spreadsheets/d/12kJeOb3DLWWg8o7sW1QICZ8qsKlcv9OfYjohcMhA61g/edit#gid=1661307685=share"", ""PUBLICAT!A:K""),5,0)"),5)</f>
        <v>5</v>
      </c>
      <c r="G149" s="19"/>
      <c r="H149" s="84">
        <f t="shared" si="68"/>
        <v>0</v>
      </c>
      <c r="I149" s="5" t="s">
        <v>5</v>
      </c>
      <c r="J149" s="63" t="s">
        <v>372</v>
      </c>
    </row>
    <row r="150" spans="1:10" ht="28.8" customHeight="1" x14ac:dyDescent="0.3">
      <c r="A150" s="77"/>
      <c r="B150" s="78"/>
      <c r="C150" s="78"/>
      <c r="D150" s="65" t="s">
        <v>218</v>
      </c>
      <c r="E150" s="78"/>
      <c r="F150" s="78"/>
      <c r="G150" s="78"/>
      <c r="H150" s="85"/>
      <c r="I150" s="78"/>
      <c r="J150" s="79"/>
    </row>
    <row r="151" spans="1:10" ht="28.2" customHeight="1" x14ac:dyDescent="0.3">
      <c r="A151" s="1" t="s">
        <v>0</v>
      </c>
      <c r="B151" s="1" t="s">
        <v>1</v>
      </c>
      <c r="C151" s="28" t="s">
        <v>2</v>
      </c>
      <c r="D151" s="10" t="s">
        <v>163</v>
      </c>
      <c r="E151" s="11" t="s">
        <v>164</v>
      </c>
      <c r="F151" s="8" t="s">
        <v>3</v>
      </c>
      <c r="G151" s="17" t="s">
        <v>165</v>
      </c>
      <c r="H151" s="17" t="s">
        <v>166</v>
      </c>
      <c r="I151" s="17" t="s">
        <v>180</v>
      </c>
      <c r="J151" s="9" t="s">
        <v>4</v>
      </c>
    </row>
    <row r="152" spans="1:10" ht="15" customHeight="1" x14ac:dyDescent="0.3">
      <c r="A152" s="2">
        <f>A149+1</f>
        <v>97</v>
      </c>
      <c r="B152" s="7">
        <v>9788327105189</v>
      </c>
      <c r="C152" s="15" t="s">
        <v>23</v>
      </c>
      <c r="D152" s="6">
        <v>39.9</v>
      </c>
      <c r="E152" s="44">
        <f t="shared" ref="E152:E153" si="70">ROUND(D152*0.65,2)</f>
        <v>25.94</v>
      </c>
      <c r="F152" s="3">
        <f ca="1">IFERROR(__xludf.DUMMYFUNCTION("VLOOKUP($B31,IMPORTRANGE(""https://docs.google.com/spreadsheets/d/12kJeOb3DLWWg8o7sW1QICZ8qsKlcv9OfYjohcMhA61g/edit#gid=1661307685=share"", ""PUBLICAT!A:K""),5,0)"),5)</f>
        <v>5</v>
      </c>
      <c r="G152" s="19"/>
      <c r="H152" s="84">
        <f t="shared" ref="H152:H153" si="71">G152*D152</f>
        <v>0</v>
      </c>
      <c r="I152" s="5" t="s">
        <v>5</v>
      </c>
      <c r="J152" s="4" t="str">
        <f ca="1">IFERROR(__xludf.DUMMYFUNCTION("VLOOKUP($B31,IMPORTRANGE(""https://docs.google.com/spreadsheets/d/1MKJD7C_CKp2_LboH2OnBUiaFdTdVMOriGBVcGuRPO9Y/edit#gid=0=share"", ""Baza!A:K""),7,0)"),"000763")</f>
        <v>000763</v>
      </c>
    </row>
    <row r="153" spans="1:10" ht="15" customHeight="1" x14ac:dyDescent="0.3">
      <c r="A153" s="2">
        <f t="shared" ref="A153" si="72">A152+1</f>
        <v>98</v>
      </c>
      <c r="B153" s="7">
        <v>9788327105172</v>
      </c>
      <c r="C153" s="15" t="s">
        <v>24</v>
      </c>
      <c r="D153" s="6">
        <v>39.9</v>
      </c>
      <c r="E153" s="44">
        <f t="shared" si="70"/>
        <v>25.94</v>
      </c>
      <c r="F153" s="3">
        <f ca="1">IFERROR(__xludf.DUMMYFUNCTION("VLOOKUP($B32,IMPORTRANGE(""https://docs.google.com/spreadsheets/d/12kJeOb3DLWWg8o7sW1QICZ8qsKlcv9OfYjohcMhA61g/edit#gid=1661307685=share"", ""PUBLICAT!A:K""),5,0)"),5)</f>
        <v>5</v>
      </c>
      <c r="G153" s="19"/>
      <c r="H153" s="84">
        <f t="shared" si="71"/>
        <v>0</v>
      </c>
      <c r="I153" s="5" t="s">
        <v>5</v>
      </c>
      <c r="J153" s="4" t="str">
        <f ca="1">IFERROR(__xludf.DUMMYFUNCTION("VLOOKUP($B32,IMPORTRANGE(""https://docs.google.com/spreadsheets/d/1MKJD7C_CKp2_LboH2OnBUiaFdTdVMOriGBVcGuRPO9Y/edit#gid=0=share"", ""Baza!A:K""),7,0)"),"000764")</f>
        <v>000764</v>
      </c>
    </row>
    <row r="154" spans="1:10" ht="28.8" customHeight="1" x14ac:dyDescent="0.3">
      <c r="A154" s="77"/>
      <c r="B154" s="78"/>
      <c r="C154" s="78"/>
      <c r="D154" s="65" t="s">
        <v>219</v>
      </c>
      <c r="E154" s="78"/>
      <c r="F154" s="78"/>
      <c r="G154" s="78"/>
      <c r="H154" s="85"/>
      <c r="I154" s="78"/>
      <c r="J154" s="79"/>
    </row>
    <row r="155" spans="1:10" ht="28.2" customHeight="1" x14ac:dyDescent="0.3">
      <c r="A155" s="1" t="s">
        <v>0</v>
      </c>
      <c r="B155" s="1" t="s">
        <v>1</v>
      </c>
      <c r="C155" s="28" t="s">
        <v>2</v>
      </c>
      <c r="D155" s="10" t="s">
        <v>163</v>
      </c>
      <c r="E155" s="11" t="s">
        <v>164</v>
      </c>
      <c r="F155" s="8" t="s">
        <v>3</v>
      </c>
      <c r="G155" s="17" t="s">
        <v>165</v>
      </c>
      <c r="H155" s="17" t="s">
        <v>166</v>
      </c>
      <c r="I155" s="17" t="s">
        <v>180</v>
      </c>
      <c r="J155" s="9" t="s">
        <v>4</v>
      </c>
    </row>
    <row r="156" spans="1:10" ht="15" customHeight="1" x14ac:dyDescent="0.3">
      <c r="A156" s="2">
        <f>A153+1</f>
        <v>99</v>
      </c>
      <c r="B156" s="7">
        <v>9788327106575</v>
      </c>
      <c r="C156" s="15" t="s">
        <v>48</v>
      </c>
      <c r="D156" s="6">
        <v>59.9</v>
      </c>
      <c r="E156" s="44">
        <f t="shared" ref="E156:E160" si="73">ROUND(D156*0.65,2)</f>
        <v>38.94</v>
      </c>
      <c r="F156" s="3">
        <v>5</v>
      </c>
      <c r="G156" s="19"/>
      <c r="H156" s="84">
        <f t="shared" ref="H156:H160" si="74">G156*D156</f>
        <v>0</v>
      </c>
      <c r="I156" s="5" t="s">
        <v>5</v>
      </c>
      <c r="J156" s="4" t="s">
        <v>220</v>
      </c>
    </row>
    <row r="157" spans="1:10" ht="15" customHeight="1" x14ac:dyDescent="0.3">
      <c r="A157" s="20">
        <f t="shared" ref="A157:A160" si="75">A156+1</f>
        <v>100</v>
      </c>
      <c r="B157" s="21">
        <v>9788327106704</v>
      </c>
      <c r="C157" s="27" t="s">
        <v>49</v>
      </c>
      <c r="D157" s="23">
        <v>59.9</v>
      </c>
      <c r="E157" s="44">
        <f t="shared" si="73"/>
        <v>38.94</v>
      </c>
      <c r="F157" s="24">
        <v>5</v>
      </c>
      <c r="G157" s="25"/>
      <c r="H157" s="84">
        <f t="shared" si="74"/>
        <v>0</v>
      </c>
      <c r="I157" s="26" t="s">
        <v>5</v>
      </c>
      <c r="J157" s="113" t="s">
        <v>221</v>
      </c>
    </row>
    <row r="158" spans="1:10" ht="15" customHeight="1" x14ac:dyDescent="0.3">
      <c r="A158" s="41">
        <f t="shared" si="75"/>
        <v>101</v>
      </c>
      <c r="B158" s="42">
        <v>9788327106650</v>
      </c>
      <c r="C158" s="48" t="s">
        <v>51</v>
      </c>
      <c r="D158" s="52">
        <v>49.9</v>
      </c>
      <c r="E158" s="44">
        <f t="shared" si="73"/>
        <v>32.44</v>
      </c>
      <c r="F158" s="45">
        <f ca="1">IFERROR(__xludf.DUMMYFUNCTION("VLOOKUP($B66,IMPORTRANGE(""https://docs.google.com/spreadsheets/d/12kJeOb3DLWWg8o7sW1QICZ8qsKlcv9OfYjohcMhA61g/edit#gid=1661307685=share"", ""PUBLICAT!A:K""),5,0)"),5)</f>
        <v>5</v>
      </c>
      <c r="G158" s="46"/>
      <c r="H158" s="84">
        <f t="shared" si="74"/>
        <v>0</v>
      </c>
      <c r="I158" s="47" t="s">
        <v>5</v>
      </c>
      <c r="J158" s="115" t="str">
        <f ca="1">IFERROR(__xludf.DUMMYFUNCTION("VLOOKUP($B66,IMPORTRANGE(""https://docs.google.com/spreadsheets/d/1MKJD7C_CKp2_LboH2OnBUiaFdTdVMOriGBVcGuRPO9Y/edit#gid=0=share"", ""Baza!A:K""),7,0)"),"000775")</f>
        <v>000775</v>
      </c>
    </row>
    <row r="159" spans="1:10" ht="14.4" x14ac:dyDescent="0.3">
      <c r="A159" s="41">
        <f t="shared" si="75"/>
        <v>102</v>
      </c>
      <c r="B159" s="42">
        <v>9788327106896</v>
      </c>
      <c r="C159" s="48" t="s">
        <v>52</v>
      </c>
      <c r="D159" s="52">
        <v>59.9</v>
      </c>
      <c r="E159" s="44">
        <f t="shared" si="73"/>
        <v>38.94</v>
      </c>
      <c r="F159" s="45">
        <f ca="1">IFERROR(__xludf.DUMMYFUNCTION("VLOOKUP($B68,IMPORTRANGE(""https://docs.google.com/spreadsheets/d/12kJeOb3DLWWg8o7sW1QICZ8qsKlcv9OfYjohcMhA61g/edit#gid=1661307685=share"", ""PUBLICAT!A:K""),5,0)"),5)</f>
        <v>5</v>
      </c>
      <c r="G159" s="46"/>
      <c r="H159" s="84">
        <f t="shared" si="74"/>
        <v>0</v>
      </c>
      <c r="I159" s="47" t="s">
        <v>5</v>
      </c>
      <c r="J159" s="115" t="str">
        <f ca="1">IFERROR(__xludf.DUMMYFUNCTION("VLOOKUP($B68,IMPORTRANGE(""https://docs.google.com/spreadsheets/d/1MKJD7C_CKp2_LboH2OnBUiaFdTdVMOriGBVcGuRPO9Y/edit#gid=0=share"", ""Baza!A:K""),7,0)"),"000891")</f>
        <v>000891</v>
      </c>
    </row>
    <row r="160" spans="1:10" ht="14.4" x14ac:dyDescent="0.3">
      <c r="A160" s="41">
        <f t="shared" si="75"/>
        <v>103</v>
      </c>
      <c r="B160" s="7">
        <v>9788327106926</v>
      </c>
      <c r="C160" s="49" t="s">
        <v>222</v>
      </c>
      <c r="D160" s="6">
        <v>49.9</v>
      </c>
      <c r="E160" s="44">
        <f t="shared" si="73"/>
        <v>32.44</v>
      </c>
      <c r="F160" s="3">
        <f ca="1">IFERROR(__xludf.DUMMYFUNCTION("VLOOKUP($B65,IMPORTRANGE(""https://docs.google.com/spreadsheets/d/12kJeOb3DLWWg8o7sW1QICZ8qsKlcv9OfYjohcMhA61g/edit#gid=1661307685=share"", ""PUBLICAT!A:K""),5,0)"),5)</f>
        <v>5</v>
      </c>
      <c r="G160" s="19"/>
      <c r="H160" s="84">
        <f t="shared" si="74"/>
        <v>0</v>
      </c>
      <c r="I160" s="47" t="s">
        <v>5</v>
      </c>
      <c r="J160" s="4" t="str">
        <f ca="1">IFERROR(__xludf.DUMMYFUNCTION("VLOOKUP($B65,IMPORTRANGE(""https://docs.google.com/spreadsheets/d/1MKJD7C_CKp2_LboH2OnBUiaFdTdVMOriGBVcGuRPO9Y/edit#gid=0=share"", ""Baza!A:K""),7,0)"),"001534")</f>
        <v>001534</v>
      </c>
    </row>
    <row r="161" spans="1:10" ht="28.8" customHeight="1" x14ac:dyDescent="0.3">
      <c r="A161" s="77"/>
      <c r="B161" s="78"/>
      <c r="C161" s="78"/>
      <c r="D161" s="65" t="s">
        <v>223</v>
      </c>
      <c r="E161" s="78"/>
      <c r="F161" s="78"/>
      <c r="G161" s="78"/>
      <c r="H161" s="85"/>
      <c r="I161" s="78"/>
      <c r="J161" s="79"/>
    </row>
    <row r="162" spans="1:10" ht="28.2" customHeight="1" x14ac:dyDescent="0.3">
      <c r="A162" s="1" t="s">
        <v>0</v>
      </c>
      <c r="B162" s="1" t="s">
        <v>1</v>
      </c>
      <c r="C162" s="28" t="s">
        <v>2</v>
      </c>
      <c r="D162" s="10" t="s">
        <v>163</v>
      </c>
      <c r="E162" s="11" t="s">
        <v>164</v>
      </c>
      <c r="F162" s="8" t="s">
        <v>3</v>
      </c>
      <c r="G162" s="17" t="s">
        <v>165</v>
      </c>
      <c r="H162" s="17" t="s">
        <v>166</v>
      </c>
      <c r="I162" s="17" t="s">
        <v>180</v>
      </c>
      <c r="J162" s="9" t="s">
        <v>4</v>
      </c>
    </row>
    <row r="163" spans="1:10" ht="14.4" x14ac:dyDescent="0.3">
      <c r="A163" s="2">
        <f>A160+1</f>
        <v>104</v>
      </c>
      <c r="B163" s="7">
        <v>9788327106797</v>
      </c>
      <c r="C163" s="15" t="s">
        <v>134</v>
      </c>
      <c r="D163" s="52">
        <v>49.9</v>
      </c>
      <c r="E163" s="44">
        <f t="shared" ref="E163:E169" si="76">ROUND(D163*0.65,2)</f>
        <v>32.44</v>
      </c>
      <c r="F163" s="3">
        <f ca="1">IFERROR(__xludf.DUMMYFUNCTION("VLOOKUP($B166,IMPORTRANGE(""https://docs.google.com/spreadsheets/d/12kJeOb3DLWWg8o7sW1QICZ8qsKlcv9OfYjohcMhA61g/edit#gid=1661307685=share"", ""PUBLICAT!A:K""),5,0)"),5)</f>
        <v>5</v>
      </c>
      <c r="G163" s="19"/>
      <c r="H163" s="84">
        <f t="shared" ref="H163:H169" si="77">G163*D163</f>
        <v>0</v>
      </c>
      <c r="I163" s="26" t="s">
        <v>5</v>
      </c>
      <c r="J163" s="4" t="str">
        <f ca="1">IFERROR(__xludf.DUMMYFUNCTION("VLOOKUP($B166,IMPORTRANGE(""https://docs.google.com/spreadsheets/d/1MKJD7C_CKp2_LboH2OnBUiaFdTdVMOriGBVcGuRPO9Y/edit#gid=0=share"", ""Baza!A:K""),7,0)"),"000768")</f>
        <v>000768</v>
      </c>
    </row>
    <row r="164" spans="1:10" ht="14.4" x14ac:dyDescent="0.3">
      <c r="A164" s="20">
        <f t="shared" ref="A164:A169" si="78">A163+1</f>
        <v>105</v>
      </c>
      <c r="B164" s="7">
        <v>9788327107510</v>
      </c>
      <c r="C164" s="16" t="s">
        <v>149</v>
      </c>
      <c r="D164" s="6">
        <v>49.9</v>
      </c>
      <c r="E164" s="44">
        <f t="shared" si="76"/>
        <v>32.44</v>
      </c>
      <c r="F164" s="3">
        <f ca="1">IFERROR(__xludf.DUMMYFUNCTION("VLOOKUP($B181,IMPORTRANGE(""https://docs.google.com/spreadsheets/d/12kJeOb3DLWWg8o7sW1QICZ8qsKlcv9OfYjohcMhA61g/edit#gid=1661307685=share"", ""PUBLICAT!A:K""),5,0)"),5)</f>
        <v>5</v>
      </c>
      <c r="G164" s="19"/>
      <c r="H164" s="84">
        <f t="shared" si="77"/>
        <v>0</v>
      </c>
      <c r="I164" s="26" t="s">
        <v>5</v>
      </c>
      <c r="J164" s="4" t="str">
        <f ca="1">IFERROR(__xludf.DUMMYFUNCTION("VLOOKUP($B181,IMPORTRANGE(""https://docs.google.com/spreadsheets/d/1MKJD7C_CKp2_LboH2OnBUiaFdTdVMOriGBVcGuRPO9Y/edit#gid=0=share"", ""Baza!A:K""),7,0)"),"002107")</f>
        <v>002107</v>
      </c>
    </row>
    <row r="165" spans="1:10" ht="14.4" x14ac:dyDescent="0.3">
      <c r="A165" s="53">
        <f t="shared" si="78"/>
        <v>106</v>
      </c>
      <c r="B165" s="21">
        <v>9788327106599</v>
      </c>
      <c r="C165" s="22" t="s">
        <v>156</v>
      </c>
      <c r="D165" s="23">
        <v>49.9</v>
      </c>
      <c r="E165" s="44">
        <f t="shared" si="76"/>
        <v>32.44</v>
      </c>
      <c r="F165" s="24">
        <f ca="1">IFERROR(__xludf.DUMMYFUNCTION("VLOOKUP($B188,IMPORTRANGE(""https://docs.google.com/spreadsheets/d/12kJeOb3DLWWg8o7sW1QICZ8qsKlcv9OfYjohcMhA61g/edit#gid=1661307685=share"", ""PUBLICAT!A:K""),5,0)"),5)</f>
        <v>5</v>
      </c>
      <c r="G165" s="25"/>
      <c r="H165" s="84">
        <f t="shared" si="77"/>
        <v>0</v>
      </c>
      <c r="I165" s="26" t="s">
        <v>5</v>
      </c>
      <c r="J165" s="113" t="str">
        <f ca="1">IFERROR(__xludf.DUMMYFUNCTION("VLOOKUP($B188,IMPORTRANGE(""https://docs.google.com/spreadsheets/d/1MKJD7C_CKp2_LboH2OnBUiaFdTdVMOriGBVcGuRPO9Y/edit#gid=0=share"", ""Baza!A:K""),7,0)"),"002112")</f>
        <v>002112</v>
      </c>
    </row>
    <row r="166" spans="1:10" ht="14.4" x14ac:dyDescent="0.3">
      <c r="A166" s="41">
        <f t="shared" si="78"/>
        <v>107</v>
      </c>
      <c r="B166" s="55">
        <v>9788327105448</v>
      </c>
      <c r="C166" s="48" t="s">
        <v>157</v>
      </c>
      <c r="D166" s="52">
        <v>39.9</v>
      </c>
      <c r="E166" s="44">
        <f t="shared" si="76"/>
        <v>25.94</v>
      </c>
      <c r="F166" s="45">
        <f ca="1">IFERROR(__xludf.DUMMYFUNCTION("VLOOKUP($B189,IMPORTRANGE(""https://docs.google.com/spreadsheets/d/12kJeOb3DLWWg8o7sW1QICZ8qsKlcv9OfYjohcMhA61g/edit#gid=1661307685=share"", ""PUBLICAT!A:K""),5,0)"),5)</f>
        <v>5</v>
      </c>
      <c r="G166" s="46"/>
      <c r="H166" s="84">
        <f t="shared" si="77"/>
        <v>0</v>
      </c>
      <c r="I166" s="47" t="s">
        <v>5</v>
      </c>
      <c r="J166" s="115" t="str">
        <f ca="1">IFERROR(__xludf.DUMMYFUNCTION("VLOOKUP($B189,IMPORTRANGE(""https://docs.google.com/spreadsheets/d/1MKJD7C_CKp2_LboH2OnBUiaFdTdVMOriGBVcGuRPO9Y/edit#gid=0=share"", ""Baza!A:K""),7,0)"),"000892")</f>
        <v>000892</v>
      </c>
    </row>
    <row r="167" spans="1:10" ht="14.4" x14ac:dyDescent="0.3">
      <c r="A167" s="41">
        <f t="shared" si="78"/>
        <v>108</v>
      </c>
      <c r="B167" s="56">
        <v>9788327106780</v>
      </c>
      <c r="C167" s="54" t="s">
        <v>158</v>
      </c>
      <c r="D167" s="52">
        <v>49.9</v>
      </c>
      <c r="E167" s="44">
        <f t="shared" si="76"/>
        <v>32.44</v>
      </c>
      <c r="F167" s="45">
        <f ca="1">IFERROR(__xludf.DUMMYFUNCTION("VLOOKUP($B190,IMPORTRANGE(""https://docs.google.com/spreadsheets/d/12kJeOb3DLWWg8o7sW1QICZ8qsKlcv9OfYjohcMhA61g/edit#gid=1661307685=share"", ""PUBLICAT!A:K""),5,0)"),5)</f>
        <v>5</v>
      </c>
      <c r="G167" s="46"/>
      <c r="H167" s="84">
        <f t="shared" si="77"/>
        <v>0</v>
      </c>
      <c r="I167" s="47" t="s">
        <v>5</v>
      </c>
      <c r="J167" s="115" t="str">
        <f ca="1">IFERROR(__xludf.DUMMYFUNCTION("VLOOKUP($B190,IMPORTRANGE(""https://docs.google.com/spreadsheets/d/1MKJD7C_CKp2_LboH2OnBUiaFdTdVMOriGBVcGuRPO9Y/edit#gid=0=share"", ""Baza!A:K""),7,0)"),"000894")</f>
        <v>000894</v>
      </c>
    </row>
    <row r="168" spans="1:10" ht="14.4" x14ac:dyDescent="0.3">
      <c r="A168" s="41">
        <f t="shared" si="78"/>
        <v>109</v>
      </c>
      <c r="B168" s="55">
        <v>9788327106698</v>
      </c>
      <c r="C168" s="48" t="s">
        <v>47</v>
      </c>
      <c r="D168" s="52">
        <v>49.9</v>
      </c>
      <c r="E168" s="44">
        <f t="shared" si="76"/>
        <v>32.44</v>
      </c>
      <c r="F168" s="45">
        <f ca="1">IFERROR(__xludf.DUMMYFUNCTION("VLOOKUP($B61,IMPORTRANGE(""https://docs.google.com/spreadsheets/d/12kJeOb3DLWWg8o7sW1QICZ8qsKlcv9OfYjohcMhA61g/edit#gid=1661307685=share"", ""PUBLICAT!A:K""),5,0)"),5)</f>
        <v>5</v>
      </c>
      <c r="G168" s="46"/>
      <c r="H168" s="84">
        <f t="shared" si="77"/>
        <v>0</v>
      </c>
      <c r="I168" s="47" t="s">
        <v>5</v>
      </c>
      <c r="J168" s="115" t="str">
        <f ca="1">IFERROR(__xludf.DUMMYFUNCTION("VLOOKUP($B61,IMPORTRANGE(""https://docs.google.com/spreadsheets/d/1MKJD7C_CKp2_LboH2OnBUiaFdTdVMOriGBVcGuRPO9Y/edit#gid=0=share"", ""Baza!A:K""),7,0)"),"000896")</f>
        <v>000896</v>
      </c>
    </row>
    <row r="169" spans="1:10" ht="15" customHeight="1" x14ac:dyDescent="0.3">
      <c r="A169" s="41">
        <f t="shared" si="78"/>
        <v>110</v>
      </c>
      <c r="B169" s="57">
        <v>9788327107596</v>
      </c>
      <c r="C169" s="58" t="s">
        <v>18</v>
      </c>
      <c r="D169" s="52">
        <v>54.9</v>
      </c>
      <c r="E169" s="44">
        <f t="shared" si="76"/>
        <v>35.69</v>
      </c>
      <c r="F169" s="45">
        <f ca="1">IFERROR(__xludf.DUMMYFUNCTION("VLOOKUP($B26,IMPORTRANGE(""https://docs.google.com/spreadsheets/d/12kJeOb3DLWWg8o7sW1QICZ8qsKlcv9OfYjohcMhA61g/edit#gid=1661307685=share"", ""PUBLICAT!A:K""),5,0)"),5)</f>
        <v>5</v>
      </c>
      <c r="G169" s="46"/>
      <c r="H169" s="84">
        <f t="shared" si="77"/>
        <v>0</v>
      </c>
      <c r="I169" s="5" t="s">
        <v>5</v>
      </c>
      <c r="J169" s="4" t="str">
        <f ca="1">IFERROR(__xludf.DUMMYFUNCTION("VLOOKUP($B26,IMPORTRANGE(""https://docs.google.com/spreadsheets/d/1MKJD7C_CKp2_LboH2OnBUiaFdTdVMOriGBVcGuRPO9Y/edit#gid=0=share"", ""Baza!A:K""),7,0)"),"002243")</f>
        <v>002243</v>
      </c>
    </row>
    <row r="170" spans="1:10" ht="28.8" customHeight="1" x14ac:dyDescent="0.3">
      <c r="A170" s="77"/>
      <c r="B170" s="78"/>
      <c r="C170" s="78"/>
      <c r="D170" s="65" t="s">
        <v>225</v>
      </c>
      <c r="E170" s="78"/>
      <c r="F170" s="78"/>
      <c r="G170" s="78"/>
      <c r="H170" s="85"/>
      <c r="I170" s="78"/>
      <c r="J170" s="79"/>
    </row>
    <row r="171" spans="1:10" ht="28.2" customHeight="1" x14ac:dyDescent="0.3">
      <c r="A171" s="1" t="s">
        <v>0</v>
      </c>
      <c r="B171" s="1" t="s">
        <v>1</v>
      </c>
      <c r="C171" s="28" t="s">
        <v>2</v>
      </c>
      <c r="D171" s="10" t="s">
        <v>163</v>
      </c>
      <c r="E171" s="11" t="s">
        <v>164</v>
      </c>
      <c r="F171" s="8" t="s">
        <v>3</v>
      </c>
      <c r="G171" s="17" t="s">
        <v>165</v>
      </c>
      <c r="H171" s="17" t="s">
        <v>166</v>
      </c>
      <c r="I171" s="17" t="s">
        <v>180</v>
      </c>
      <c r="J171" s="9" t="s">
        <v>4</v>
      </c>
    </row>
    <row r="172" spans="1:10" ht="14.4" x14ac:dyDescent="0.3">
      <c r="A172" s="2">
        <f>A169+1</f>
        <v>111</v>
      </c>
      <c r="B172" s="7">
        <v>9788327106889</v>
      </c>
      <c r="C172" s="15" t="s">
        <v>65</v>
      </c>
      <c r="D172" s="52">
        <v>49.9</v>
      </c>
      <c r="E172" s="44">
        <f t="shared" ref="E172:E176" si="79">ROUND(D172*0.65,2)</f>
        <v>32.44</v>
      </c>
      <c r="F172" s="3">
        <v>5</v>
      </c>
      <c r="G172" s="19"/>
      <c r="H172" s="84">
        <f t="shared" ref="H172:H176" si="80">G172*D172</f>
        <v>0</v>
      </c>
      <c r="I172" s="47" t="s">
        <v>5</v>
      </c>
      <c r="J172" s="4" t="str">
        <f ca="1">IFERROR(__xludf.DUMMYFUNCTION("VLOOKUP($B82,IMPORTRANGE(""https://docs.google.com/spreadsheets/d/1MKJD7C_CKp2_LboH2OnBUiaFdTdVMOriGBVcGuRPO9Y/edit#gid=0=share"", ""Baza!A:K""),7,0)"),"000940")</f>
        <v>000940</v>
      </c>
    </row>
    <row r="173" spans="1:10" ht="15" customHeight="1" x14ac:dyDescent="0.3">
      <c r="A173" s="20">
        <f t="shared" ref="A173:A176" si="81">A172+1</f>
        <v>112</v>
      </c>
      <c r="B173" s="7">
        <v>9788327107138</v>
      </c>
      <c r="C173" s="33" t="s">
        <v>229</v>
      </c>
      <c r="D173" s="52">
        <v>10.99</v>
      </c>
      <c r="E173" s="44">
        <f t="shared" si="79"/>
        <v>7.14</v>
      </c>
      <c r="F173" s="3">
        <f ca="1">IFERROR(__xludf.DUMMYFUNCTION("VLOOKUP($B17,IMPORTRANGE(""https://docs.google.com/spreadsheets/d/12kJeOb3DLWWg8o7sW1QICZ8qsKlcv9OfYjohcMhA61g/edit#gid=1661307685=share"", ""PUBLICAT!A:K""),5,0)"),5)</f>
        <v>5</v>
      </c>
      <c r="G173" s="19"/>
      <c r="H173" s="84">
        <f t="shared" si="80"/>
        <v>0</v>
      </c>
      <c r="I173" s="5" t="s">
        <v>5</v>
      </c>
      <c r="J173" s="4" t="str">
        <f ca="1">IFERROR(__xludf.DUMMYFUNCTION("VLOOKUP($B17,IMPORTRANGE(""https://docs.google.com/spreadsheets/d/1MKJD7C_CKp2_LboH2OnBUiaFdTdVMOriGBVcGuRPO9Y/edit#gid=0=share"", ""Baza!A:K""),7,0)"),"002235")</f>
        <v>002235</v>
      </c>
    </row>
    <row r="174" spans="1:10" ht="15" customHeight="1" x14ac:dyDescent="0.3">
      <c r="A174" s="20">
        <f t="shared" si="81"/>
        <v>113</v>
      </c>
      <c r="B174" s="7">
        <v>9788327107145</v>
      </c>
      <c r="C174" s="33" t="s">
        <v>228</v>
      </c>
      <c r="D174" s="52">
        <v>10.99</v>
      </c>
      <c r="E174" s="44">
        <f t="shared" si="79"/>
        <v>7.14</v>
      </c>
      <c r="F174" s="3">
        <f ca="1">IFERROR(__xludf.DUMMYFUNCTION("VLOOKUP($B18,IMPORTRANGE(""https://docs.google.com/spreadsheets/d/12kJeOb3DLWWg8o7sW1QICZ8qsKlcv9OfYjohcMhA61g/edit#gid=1661307685=share"", ""PUBLICAT!A:K""),5,0)"),5)</f>
        <v>5</v>
      </c>
      <c r="G174" s="19"/>
      <c r="H174" s="84">
        <f t="shared" si="80"/>
        <v>0</v>
      </c>
      <c r="I174" s="5" t="s">
        <v>5</v>
      </c>
      <c r="J174" s="4" t="str">
        <f ca="1">IFERROR(__xludf.DUMMYFUNCTION("VLOOKUP($B18,IMPORTRANGE(""https://docs.google.com/spreadsheets/d/1MKJD7C_CKp2_LboH2OnBUiaFdTdVMOriGBVcGuRPO9Y/edit#gid=0=share"", ""Baza!A:K""),7,0)"),"002236")</f>
        <v>002236</v>
      </c>
    </row>
    <row r="175" spans="1:10" ht="15" customHeight="1" x14ac:dyDescent="0.3">
      <c r="A175" s="20">
        <f t="shared" si="81"/>
        <v>114</v>
      </c>
      <c r="B175" s="7">
        <v>9788327107152</v>
      </c>
      <c r="C175" s="33" t="s">
        <v>226</v>
      </c>
      <c r="D175" s="52">
        <v>10.99</v>
      </c>
      <c r="E175" s="44">
        <f t="shared" si="79"/>
        <v>7.14</v>
      </c>
      <c r="F175" s="3">
        <f ca="1">IFERROR(__xludf.DUMMYFUNCTION("VLOOKUP($B19,IMPORTRANGE(""https://docs.google.com/spreadsheets/d/12kJeOb3DLWWg8o7sW1QICZ8qsKlcv9OfYjohcMhA61g/edit#gid=1661307685=share"", ""PUBLICAT!A:K""),5,0)"),5)</f>
        <v>5</v>
      </c>
      <c r="G175" s="19"/>
      <c r="H175" s="84">
        <f t="shared" si="80"/>
        <v>0</v>
      </c>
      <c r="I175" s="5" t="s">
        <v>5</v>
      </c>
      <c r="J175" s="4" t="str">
        <f ca="1">IFERROR(__xludf.DUMMYFUNCTION("VLOOKUP($B19,IMPORTRANGE(""https://docs.google.com/spreadsheets/d/1MKJD7C_CKp2_LboH2OnBUiaFdTdVMOriGBVcGuRPO9Y/edit#gid=0=share"", ""Baza!A:K""),7,0)"),"002237")</f>
        <v>002237</v>
      </c>
    </row>
    <row r="176" spans="1:10" ht="15" customHeight="1" x14ac:dyDescent="0.3">
      <c r="A176" s="20">
        <f t="shared" si="81"/>
        <v>115</v>
      </c>
      <c r="B176" s="7">
        <v>9788327107169</v>
      </c>
      <c r="C176" s="33" t="s">
        <v>227</v>
      </c>
      <c r="D176" s="52">
        <v>10.99</v>
      </c>
      <c r="E176" s="44">
        <f t="shared" si="79"/>
        <v>7.14</v>
      </c>
      <c r="F176" s="3">
        <f ca="1">IFERROR(__xludf.DUMMYFUNCTION("VLOOKUP($B19,IMPORTRANGE(""https://docs.google.com/spreadsheets/d/12kJeOb3DLWWg8o7sW1QICZ8qsKlcv9OfYjohcMhA61g/edit#gid=1661307685=share"", ""PUBLICAT!A:K""),5,0)"),5)</f>
        <v>5</v>
      </c>
      <c r="G176" s="19"/>
      <c r="H176" s="84">
        <f t="shared" si="80"/>
        <v>0</v>
      </c>
      <c r="I176" s="5" t="s">
        <v>5</v>
      </c>
      <c r="J176" s="63" t="s">
        <v>373</v>
      </c>
    </row>
    <row r="177" spans="1:10" ht="28.8" customHeight="1" x14ac:dyDescent="0.3">
      <c r="A177" s="77"/>
      <c r="B177" s="78"/>
      <c r="C177" s="78"/>
      <c r="D177" s="65" t="s">
        <v>236</v>
      </c>
      <c r="E177" s="78"/>
      <c r="F177" s="78"/>
      <c r="G177" s="78"/>
      <c r="H177" s="85"/>
      <c r="I177" s="78"/>
      <c r="J177" s="79"/>
    </row>
    <row r="178" spans="1:10" ht="28.2" customHeight="1" x14ac:dyDescent="0.3">
      <c r="A178" s="1" t="s">
        <v>0</v>
      </c>
      <c r="B178" s="1" t="s">
        <v>1</v>
      </c>
      <c r="C178" s="28" t="s">
        <v>2</v>
      </c>
      <c r="D178" s="10" t="s">
        <v>163</v>
      </c>
      <c r="E178" s="11" t="s">
        <v>164</v>
      </c>
      <c r="F178" s="8" t="s">
        <v>3</v>
      </c>
      <c r="G178" s="17" t="s">
        <v>165</v>
      </c>
      <c r="H178" s="17" t="s">
        <v>166</v>
      </c>
      <c r="I178" s="17" t="s">
        <v>180</v>
      </c>
      <c r="J178" s="9" t="s">
        <v>4</v>
      </c>
    </row>
    <row r="179" spans="1:10" ht="15" customHeight="1" x14ac:dyDescent="0.3">
      <c r="A179" s="20">
        <f>A176+1</f>
        <v>116</v>
      </c>
      <c r="B179" s="21">
        <v>9788327106346</v>
      </c>
      <c r="C179" s="27" t="s">
        <v>237</v>
      </c>
      <c r="D179" s="59">
        <v>39.9</v>
      </c>
      <c r="E179" s="44">
        <f t="shared" ref="E179:E181" si="82">ROUND(D179*0.65,2)</f>
        <v>25.94</v>
      </c>
      <c r="F179" s="24">
        <v>5</v>
      </c>
      <c r="G179" s="25"/>
      <c r="H179" s="84">
        <f t="shared" ref="H179:H181" si="83">G179*D179</f>
        <v>0</v>
      </c>
      <c r="I179" s="50" t="s">
        <v>5</v>
      </c>
      <c r="J179" s="63" t="s">
        <v>374</v>
      </c>
    </row>
    <row r="180" spans="1:10" ht="15" customHeight="1" x14ac:dyDescent="0.3">
      <c r="A180" s="41">
        <f t="shared" ref="A180" si="84">A179+1</f>
        <v>117</v>
      </c>
      <c r="B180" s="42">
        <v>9788327105523</v>
      </c>
      <c r="C180" s="60" t="s">
        <v>21</v>
      </c>
      <c r="D180" s="52">
        <v>36.9</v>
      </c>
      <c r="E180" s="44">
        <f t="shared" si="82"/>
        <v>23.99</v>
      </c>
      <c r="F180" s="45">
        <f ca="1">IFERROR(__xludf.DUMMYFUNCTION("VLOOKUP($B17,IMPORTRANGE(""https://docs.google.com/spreadsheets/d/12kJeOb3DLWWg8o7sW1QICZ8qsKlcv9OfYjohcMhA61g/edit#gid=1661307685=share"", ""PUBLICAT!A:K""),5,0)"),5)</f>
        <v>5</v>
      </c>
      <c r="G180" s="46"/>
      <c r="H180" s="84">
        <f t="shared" si="83"/>
        <v>0</v>
      </c>
      <c r="I180" s="47" t="s">
        <v>5</v>
      </c>
      <c r="J180" s="63" t="s">
        <v>375</v>
      </c>
    </row>
    <row r="181" spans="1:10" ht="20.399999999999999" x14ac:dyDescent="0.3">
      <c r="A181" s="41">
        <f t="shared" ref="A181" si="85">A180+1</f>
        <v>118</v>
      </c>
      <c r="B181" s="42">
        <v>9788327106056</v>
      </c>
      <c r="C181" s="60" t="s">
        <v>22</v>
      </c>
      <c r="D181" s="52">
        <v>39.9</v>
      </c>
      <c r="E181" s="44">
        <f t="shared" si="82"/>
        <v>25.94</v>
      </c>
      <c r="F181" s="45">
        <f ca="1">IFERROR(__xludf.DUMMYFUNCTION("VLOOKUP($B17,IMPORTRANGE(""https://docs.google.com/spreadsheets/d/12kJeOb3DLWWg8o7sW1QICZ8qsKlcv9OfYjohcMhA61g/edit#gid=1661307685=share"", ""PUBLICAT!A:K""),5,0)"),5)</f>
        <v>5</v>
      </c>
      <c r="G181" s="46"/>
      <c r="H181" s="84">
        <f t="shared" si="83"/>
        <v>0</v>
      </c>
      <c r="I181" s="47" t="s">
        <v>5</v>
      </c>
      <c r="J181" s="63" t="s">
        <v>376</v>
      </c>
    </row>
    <row r="182" spans="1:10" ht="28.8" customHeight="1" x14ac:dyDescent="0.3">
      <c r="A182" s="77"/>
      <c r="B182" s="78"/>
      <c r="C182" s="78"/>
      <c r="D182" s="65" t="s">
        <v>238</v>
      </c>
      <c r="E182" s="78"/>
      <c r="F182" s="78"/>
      <c r="G182" s="78"/>
      <c r="H182" s="85"/>
      <c r="I182" s="78"/>
      <c r="J182" s="79"/>
    </row>
    <row r="183" spans="1:10" ht="28.2" customHeight="1" x14ac:dyDescent="0.3">
      <c r="A183" s="1" t="s">
        <v>0</v>
      </c>
      <c r="B183" s="1" t="s">
        <v>1</v>
      </c>
      <c r="C183" s="28" t="s">
        <v>2</v>
      </c>
      <c r="D183" s="10" t="s">
        <v>163</v>
      </c>
      <c r="E183" s="11" t="s">
        <v>164</v>
      </c>
      <c r="F183" s="8" t="s">
        <v>3</v>
      </c>
      <c r="G183" s="17" t="s">
        <v>165</v>
      </c>
      <c r="H183" s="17" t="s">
        <v>166</v>
      </c>
      <c r="I183" s="17" t="s">
        <v>180</v>
      </c>
      <c r="J183" s="9" t="s">
        <v>4</v>
      </c>
    </row>
    <row r="184" spans="1:10" ht="15" customHeight="1" x14ac:dyDescent="0.3">
      <c r="A184" s="20">
        <f>A181+1</f>
        <v>119</v>
      </c>
      <c r="B184" s="21">
        <v>9788327106117</v>
      </c>
      <c r="C184" s="27" t="s">
        <v>70</v>
      </c>
      <c r="D184" s="59">
        <v>34.9</v>
      </c>
      <c r="E184" s="44">
        <f t="shared" ref="E184:E190" si="86">ROUND(D184*0.65,2)</f>
        <v>22.69</v>
      </c>
      <c r="F184" s="24">
        <v>5</v>
      </c>
      <c r="G184" s="25"/>
      <c r="H184" s="84">
        <f t="shared" ref="H184:H190" si="87">G184*D184</f>
        <v>0</v>
      </c>
      <c r="I184" s="5" t="s">
        <v>5</v>
      </c>
      <c r="J184" s="64" t="s">
        <v>264</v>
      </c>
    </row>
    <row r="185" spans="1:10" ht="15" customHeight="1" x14ac:dyDescent="0.3">
      <c r="A185" s="41">
        <f t="shared" ref="A185:A186" si="88">A184+1</f>
        <v>120</v>
      </c>
      <c r="B185" s="7">
        <v>9788327106094</v>
      </c>
      <c r="C185" s="15" t="s">
        <v>30</v>
      </c>
      <c r="D185" s="52">
        <v>39.9</v>
      </c>
      <c r="E185" s="44">
        <f t="shared" si="86"/>
        <v>25.94</v>
      </c>
      <c r="F185" s="3">
        <f ca="1">IFERROR(__xludf.DUMMYFUNCTION("VLOOKUP($B41,IMPORTRANGE(""https://docs.google.com/spreadsheets/d/12kJeOb3DLWWg8o7sW1QICZ8qsKlcv9OfYjohcMhA61g/edit#gid=1661307685=share"", ""PUBLICAT!A:K""),5,0)"),5)</f>
        <v>5</v>
      </c>
      <c r="G185" s="19"/>
      <c r="H185" s="84">
        <f t="shared" si="87"/>
        <v>0</v>
      </c>
      <c r="I185" s="5" t="s">
        <v>5</v>
      </c>
      <c r="J185" s="4" t="str">
        <f ca="1">IFERROR(__xludf.DUMMYFUNCTION("VLOOKUP($B41,IMPORTRANGE(""https://docs.google.com/spreadsheets/d/1MKJD7C_CKp2_LboH2OnBUiaFdTdVMOriGBVcGuRPO9Y/edit#gid=0=share"", ""Baza!A:K""),7,0)"),"000817")</f>
        <v>000817</v>
      </c>
    </row>
    <row r="186" spans="1:10" ht="15" customHeight="1" x14ac:dyDescent="0.3">
      <c r="A186" s="41">
        <f t="shared" si="88"/>
        <v>121</v>
      </c>
      <c r="B186" s="42">
        <v>9788327107503</v>
      </c>
      <c r="C186" s="60" t="s">
        <v>265</v>
      </c>
      <c r="D186" s="52">
        <v>49.9</v>
      </c>
      <c r="E186" s="44">
        <f t="shared" si="86"/>
        <v>32.44</v>
      </c>
      <c r="F186" s="45">
        <f ca="1">IFERROR(__xludf.DUMMYFUNCTION("VLOOKUP($B17,IMPORTRANGE(""https://docs.google.com/spreadsheets/d/12kJeOb3DLWWg8o7sW1QICZ8qsKlcv9OfYjohcMhA61g/edit#gid=1661307685=share"", ""PUBLICAT!A:K""),5,0)"),5)</f>
        <v>5</v>
      </c>
      <c r="G186" s="46"/>
      <c r="H186" s="84">
        <f t="shared" si="87"/>
        <v>0</v>
      </c>
      <c r="I186" s="47" t="s">
        <v>5</v>
      </c>
      <c r="J186" s="63" t="s">
        <v>377</v>
      </c>
    </row>
    <row r="187" spans="1:10" ht="15" customHeight="1" x14ac:dyDescent="0.3">
      <c r="A187" s="41">
        <f t="shared" ref="A187:A190" si="89">A186+1</f>
        <v>122</v>
      </c>
      <c r="B187" s="7">
        <v>9788327106612</v>
      </c>
      <c r="C187" s="15" t="s">
        <v>74</v>
      </c>
      <c r="D187" s="52">
        <v>54.9</v>
      </c>
      <c r="E187" s="44">
        <f t="shared" si="86"/>
        <v>35.69</v>
      </c>
      <c r="F187" s="3">
        <f ca="1">IFERROR(__xludf.DUMMYFUNCTION("VLOOKUP($B91,IMPORTRANGE(""https://docs.google.com/spreadsheets/d/12kJeOb3DLWWg8o7sW1QICZ8qsKlcv9OfYjohcMhA61g/edit#gid=1661307685=share"", ""PUBLICAT!A:K""),5,0)"),5)</f>
        <v>5</v>
      </c>
      <c r="G187" s="19"/>
      <c r="H187" s="84">
        <f t="shared" si="87"/>
        <v>0</v>
      </c>
      <c r="I187" s="47" t="s">
        <v>5</v>
      </c>
      <c r="J187" s="4" t="str">
        <f ca="1">IFERROR(__xludf.DUMMYFUNCTION("VLOOKUP($B91,IMPORTRANGE(""https://docs.google.com/spreadsheets/d/1MKJD7C_CKp2_LboH2OnBUiaFdTdVMOriGBVcGuRPO9Y/edit#gid=0=share"", ""Baza!A:K""),7,0)"),"002106")</f>
        <v>002106</v>
      </c>
    </row>
    <row r="188" spans="1:10" ht="20.399999999999999" x14ac:dyDescent="0.3">
      <c r="A188" s="41">
        <f t="shared" si="89"/>
        <v>123</v>
      </c>
      <c r="B188" s="42">
        <v>9788327104533</v>
      </c>
      <c r="C188" s="60" t="s">
        <v>266</v>
      </c>
      <c r="D188" s="52">
        <v>39.9</v>
      </c>
      <c r="E188" s="44">
        <f t="shared" si="86"/>
        <v>25.94</v>
      </c>
      <c r="F188" s="45">
        <f ca="1">IFERROR(__xludf.DUMMYFUNCTION("VLOOKUP($B17,IMPORTRANGE(""https://docs.google.com/spreadsheets/d/12kJeOb3DLWWg8o7sW1QICZ8qsKlcv9OfYjohcMhA61g/edit#gid=1661307685=share"", ""PUBLICAT!A:K""),5,0)"),5)</f>
        <v>5</v>
      </c>
      <c r="G188" s="46"/>
      <c r="H188" s="84">
        <f t="shared" si="87"/>
        <v>0</v>
      </c>
      <c r="I188" s="47" t="s">
        <v>5</v>
      </c>
      <c r="J188" s="63" t="s">
        <v>378</v>
      </c>
    </row>
    <row r="189" spans="1:10" ht="15" customHeight="1" x14ac:dyDescent="0.3">
      <c r="A189" s="41">
        <f t="shared" si="89"/>
        <v>124</v>
      </c>
      <c r="B189" s="42">
        <v>9788327105646</v>
      </c>
      <c r="C189" s="60" t="s">
        <v>68</v>
      </c>
      <c r="D189" s="52">
        <v>59.9</v>
      </c>
      <c r="E189" s="44">
        <f t="shared" si="86"/>
        <v>38.94</v>
      </c>
      <c r="F189" s="45">
        <v>5</v>
      </c>
      <c r="G189" s="46"/>
      <c r="H189" s="84">
        <f t="shared" si="87"/>
        <v>0</v>
      </c>
      <c r="I189" s="47" t="s">
        <v>5</v>
      </c>
      <c r="J189" s="63" t="s">
        <v>267</v>
      </c>
    </row>
    <row r="190" spans="1:10" ht="15" customHeight="1" x14ac:dyDescent="0.3">
      <c r="A190" s="41">
        <f t="shared" si="89"/>
        <v>125</v>
      </c>
      <c r="B190" s="42">
        <v>9788327105028</v>
      </c>
      <c r="C190" s="60" t="s">
        <v>268</v>
      </c>
      <c r="D190" s="52">
        <v>49.9</v>
      </c>
      <c r="E190" s="44">
        <f t="shared" si="86"/>
        <v>32.44</v>
      </c>
      <c r="F190" s="45">
        <f ca="1">IFERROR(__xludf.DUMMYFUNCTION("VLOOKUP($B17,IMPORTRANGE(""https://docs.google.com/spreadsheets/d/12kJeOb3DLWWg8o7sW1QICZ8qsKlcv9OfYjohcMhA61g/edit#gid=1661307685=share"", ""PUBLICAT!A:K""),5,0)"),5)</f>
        <v>5</v>
      </c>
      <c r="G190" s="46"/>
      <c r="H190" s="84">
        <f t="shared" si="87"/>
        <v>0</v>
      </c>
      <c r="I190" s="47" t="s">
        <v>5</v>
      </c>
      <c r="J190" s="63" t="s">
        <v>379</v>
      </c>
    </row>
    <row r="191" spans="1:10" ht="28.8" customHeight="1" x14ac:dyDescent="0.3">
      <c r="A191" s="77"/>
      <c r="B191" s="78"/>
      <c r="C191" s="78"/>
      <c r="D191" s="65" t="s">
        <v>239</v>
      </c>
      <c r="E191" s="78"/>
      <c r="F191" s="78"/>
      <c r="G191" s="78"/>
      <c r="H191" s="85"/>
      <c r="I191" s="78"/>
      <c r="J191" s="79"/>
    </row>
    <row r="192" spans="1:10" ht="28.2" customHeight="1" x14ac:dyDescent="0.3">
      <c r="A192" s="1" t="s">
        <v>0</v>
      </c>
      <c r="B192" s="1" t="s">
        <v>1</v>
      </c>
      <c r="C192" s="28" t="s">
        <v>2</v>
      </c>
      <c r="D192" s="10" t="s">
        <v>163</v>
      </c>
      <c r="E192" s="11" t="s">
        <v>164</v>
      </c>
      <c r="F192" s="8" t="s">
        <v>3</v>
      </c>
      <c r="G192" s="17" t="s">
        <v>165</v>
      </c>
      <c r="H192" s="17" t="s">
        <v>166</v>
      </c>
      <c r="I192" s="17" t="s">
        <v>180</v>
      </c>
      <c r="J192" s="9" t="s">
        <v>4</v>
      </c>
    </row>
    <row r="193" spans="1:10" ht="15" customHeight="1" x14ac:dyDescent="0.3">
      <c r="A193" s="20">
        <f>A190+1</f>
        <v>126</v>
      </c>
      <c r="B193" s="7">
        <v>9788327106582</v>
      </c>
      <c r="C193" s="15" t="s">
        <v>64</v>
      </c>
      <c r="D193" s="52">
        <v>39.9</v>
      </c>
      <c r="E193" s="44">
        <f t="shared" ref="E193:E197" si="90">ROUND(D193*0.65,2)</f>
        <v>25.94</v>
      </c>
      <c r="F193" s="3">
        <f ca="1">IFERROR(__xludf.DUMMYFUNCTION("VLOOKUP($B81,IMPORTRANGE(""https://docs.google.com/spreadsheets/d/12kJeOb3DLWWg8o7sW1QICZ8qsKlcv9OfYjohcMhA61g/edit#gid=1661307685=share"", ""PUBLICAT!A:K""),5,0)"),5)</f>
        <v>5</v>
      </c>
      <c r="G193" s="19"/>
      <c r="H193" s="84">
        <f t="shared" ref="H193:H197" si="91">G193*D193</f>
        <v>0</v>
      </c>
      <c r="I193" s="47" t="s">
        <v>5</v>
      </c>
      <c r="J193" s="4" t="str">
        <f ca="1">IFERROR(__xludf.DUMMYFUNCTION("VLOOKUP($B81,IMPORTRANGE(""https://docs.google.com/spreadsheets/d/1MKJD7C_CKp2_LboH2OnBUiaFdTdVMOriGBVcGuRPO9Y/edit#gid=0=share"", ""Baza!A:K""),7,0)"),"000743")</f>
        <v>000743</v>
      </c>
    </row>
    <row r="194" spans="1:10" ht="15" customHeight="1" x14ac:dyDescent="0.3">
      <c r="A194" s="41">
        <f t="shared" ref="A194:A197" si="92">A193+1</f>
        <v>127</v>
      </c>
      <c r="B194" s="7">
        <v>9788327106773</v>
      </c>
      <c r="C194" s="15" t="s">
        <v>77</v>
      </c>
      <c r="D194" s="52">
        <v>39.9</v>
      </c>
      <c r="E194" s="44">
        <f t="shared" si="90"/>
        <v>25.94</v>
      </c>
      <c r="F194" s="3">
        <f ca="1">IFERROR(__xludf.DUMMYFUNCTION("VLOOKUP($B96,IMPORTRANGE(""https://docs.google.com/spreadsheets/d/12kJeOb3DLWWg8o7sW1QICZ8qsKlcv9OfYjohcMhA61g/edit#gid=1661307685=share"", ""PUBLICAT!A:K""),5,0)"),5)</f>
        <v>5</v>
      </c>
      <c r="G194" s="19"/>
      <c r="H194" s="84">
        <f t="shared" si="91"/>
        <v>0</v>
      </c>
      <c r="I194" s="47" t="s">
        <v>5</v>
      </c>
      <c r="J194" s="4" t="str">
        <f ca="1">IFERROR(__xludf.DUMMYFUNCTION("VLOOKUP($B96,IMPORTRANGE(""https://docs.google.com/spreadsheets/d/1MKJD7C_CKp2_LboH2OnBUiaFdTdVMOriGBVcGuRPO9Y/edit#gid=0=share"", ""Baza!A:K""),7,0)"),"001209")</f>
        <v>001209</v>
      </c>
    </row>
    <row r="195" spans="1:10" ht="15" customHeight="1" x14ac:dyDescent="0.3">
      <c r="A195" s="41">
        <f t="shared" si="92"/>
        <v>128</v>
      </c>
      <c r="B195" s="42">
        <v>9788327106452</v>
      </c>
      <c r="C195" s="60" t="s">
        <v>20</v>
      </c>
      <c r="D195" s="52">
        <v>59.9</v>
      </c>
      <c r="E195" s="44">
        <f t="shared" si="90"/>
        <v>38.94</v>
      </c>
      <c r="F195" s="45">
        <v>5</v>
      </c>
      <c r="G195" s="46"/>
      <c r="H195" s="84">
        <f t="shared" si="91"/>
        <v>0</v>
      </c>
      <c r="I195" s="47" t="s">
        <v>5</v>
      </c>
      <c r="J195" s="63" t="s">
        <v>263</v>
      </c>
    </row>
    <row r="196" spans="1:10" ht="15" customHeight="1" x14ac:dyDescent="0.3">
      <c r="A196" s="41">
        <f t="shared" si="92"/>
        <v>129</v>
      </c>
      <c r="B196" s="42">
        <v>9788327106087</v>
      </c>
      <c r="C196" s="60" t="s">
        <v>66</v>
      </c>
      <c r="D196" s="52">
        <v>59</v>
      </c>
      <c r="E196" s="44">
        <f t="shared" si="90"/>
        <v>38.35</v>
      </c>
      <c r="F196" s="45">
        <v>5</v>
      </c>
      <c r="G196" s="46"/>
      <c r="H196" s="84">
        <f t="shared" si="91"/>
        <v>0</v>
      </c>
      <c r="I196" s="47" t="s">
        <v>5</v>
      </c>
      <c r="J196" s="63" t="s">
        <v>261</v>
      </c>
    </row>
    <row r="197" spans="1:10" ht="15" customHeight="1" x14ac:dyDescent="0.3">
      <c r="A197" s="41">
        <f t="shared" si="92"/>
        <v>130</v>
      </c>
      <c r="B197" s="7">
        <v>9788327106629</v>
      </c>
      <c r="C197" s="15" t="s">
        <v>29</v>
      </c>
      <c r="D197" s="52">
        <v>44.9</v>
      </c>
      <c r="E197" s="44">
        <f t="shared" si="90"/>
        <v>29.19</v>
      </c>
      <c r="F197" s="3">
        <f ca="1">IFERROR(__xludf.DUMMYFUNCTION("VLOOKUP($B38,IMPORTRANGE(""https://docs.google.com/spreadsheets/d/12kJeOb3DLWWg8o7sW1QICZ8qsKlcv9OfYjohcMhA61g/edit#gid=1661307685=share"", ""PUBLICAT!A:K""),5,0)"),5)</f>
        <v>5</v>
      </c>
      <c r="G197" s="19"/>
      <c r="H197" s="84">
        <f t="shared" si="91"/>
        <v>0</v>
      </c>
      <c r="I197" s="5" t="s">
        <v>5</v>
      </c>
      <c r="J197" s="4" t="str">
        <f ca="1">IFERROR(__xludf.DUMMYFUNCTION("VLOOKUP($B38,IMPORTRANGE(""https://docs.google.com/spreadsheets/d/1MKJD7C_CKp2_LboH2OnBUiaFdTdVMOriGBVcGuRPO9Y/edit#gid=0=share"", ""Baza!A:K""),7,0)"),"000803")</f>
        <v>000803</v>
      </c>
    </row>
    <row r="198" spans="1:10" ht="28.8" customHeight="1" x14ac:dyDescent="0.3">
      <c r="A198" s="77"/>
      <c r="B198" s="78"/>
      <c r="C198" s="78"/>
      <c r="D198" s="65" t="s">
        <v>240</v>
      </c>
      <c r="E198" s="78"/>
      <c r="F198" s="78"/>
      <c r="G198" s="78"/>
      <c r="H198" s="85"/>
      <c r="I198" s="78"/>
      <c r="J198" s="79"/>
    </row>
    <row r="199" spans="1:10" ht="28.2" customHeight="1" x14ac:dyDescent="0.3">
      <c r="A199" s="35" t="s">
        <v>0</v>
      </c>
      <c r="B199" s="35" t="s">
        <v>1</v>
      </c>
      <c r="C199" s="36" t="s">
        <v>2</v>
      </c>
      <c r="D199" s="37" t="s">
        <v>163</v>
      </c>
      <c r="E199" s="37" t="s">
        <v>164</v>
      </c>
      <c r="F199" s="38" t="s">
        <v>3</v>
      </c>
      <c r="G199" s="39" t="s">
        <v>165</v>
      </c>
      <c r="H199" s="17" t="s">
        <v>166</v>
      </c>
      <c r="I199" s="39" t="s">
        <v>180</v>
      </c>
      <c r="J199" s="40" t="s">
        <v>4</v>
      </c>
    </row>
    <row r="200" spans="1:10" ht="14.4" x14ac:dyDescent="0.3">
      <c r="A200" s="41">
        <f>A197+1</f>
        <v>131</v>
      </c>
      <c r="B200" s="61">
        <v>9788327107879</v>
      </c>
      <c r="C200" s="62" t="s">
        <v>6</v>
      </c>
      <c r="D200" s="52">
        <v>44.9</v>
      </c>
      <c r="E200" s="44">
        <f t="shared" ref="E200:E205" si="93">ROUND(D200*0.65,2)</f>
        <v>29.19</v>
      </c>
      <c r="F200" s="45">
        <v>5</v>
      </c>
      <c r="G200" s="46"/>
      <c r="H200" s="84">
        <f t="shared" ref="H200:H205" si="94">G200*D200</f>
        <v>0</v>
      </c>
      <c r="I200" s="47" t="s">
        <v>5</v>
      </c>
      <c r="J200" s="63" t="s">
        <v>250</v>
      </c>
    </row>
    <row r="201" spans="1:10" ht="20.399999999999999" x14ac:dyDescent="0.3">
      <c r="A201" s="41">
        <f t="shared" ref="A201:A205" si="95">A200+1</f>
        <v>132</v>
      </c>
      <c r="B201" s="42">
        <v>9788327107121</v>
      </c>
      <c r="C201" s="48" t="s">
        <v>244</v>
      </c>
      <c r="D201" s="52">
        <v>44.9</v>
      </c>
      <c r="E201" s="44">
        <f t="shared" si="93"/>
        <v>29.19</v>
      </c>
      <c r="F201" s="45">
        <v>5</v>
      </c>
      <c r="G201" s="46"/>
      <c r="H201" s="84">
        <f t="shared" si="94"/>
        <v>0</v>
      </c>
      <c r="I201" s="47" t="s">
        <v>5</v>
      </c>
      <c r="J201" s="63" t="s">
        <v>245</v>
      </c>
    </row>
    <row r="202" spans="1:10" ht="20.399999999999999" x14ac:dyDescent="0.3">
      <c r="A202" s="41">
        <f t="shared" si="95"/>
        <v>133</v>
      </c>
      <c r="B202" s="42">
        <v>9788327106742</v>
      </c>
      <c r="C202" s="60" t="s">
        <v>53</v>
      </c>
      <c r="D202" s="52">
        <v>44.9</v>
      </c>
      <c r="E202" s="44">
        <f t="shared" si="93"/>
        <v>29.19</v>
      </c>
      <c r="F202" s="45">
        <v>5</v>
      </c>
      <c r="G202" s="46"/>
      <c r="H202" s="84">
        <f t="shared" si="94"/>
        <v>0</v>
      </c>
      <c r="I202" s="47" t="s">
        <v>5</v>
      </c>
      <c r="J202" s="63" t="s">
        <v>246</v>
      </c>
    </row>
    <row r="203" spans="1:10" ht="20.399999999999999" x14ac:dyDescent="0.3">
      <c r="A203" s="41">
        <f t="shared" si="95"/>
        <v>134</v>
      </c>
      <c r="B203" s="42">
        <v>9788327106384</v>
      </c>
      <c r="C203" s="60" t="s">
        <v>54</v>
      </c>
      <c r="D203" s="52">
        <v>44.9</v>
      </c>
      <c r="E203" s="44">
        <f t="shared" si="93"/>
        <v>29.19</v>
      </c>
      <c r="F203" s="45">
        <v>5</v>
      </c>
      <c r="G203" s="46"/>
      <c r="H203" s="84">
        <f t="shared" si="94"/>
        <v>0</v>
      </c>
      <c r="I203" s="47" t="s">
        <v>5</v>
      </c>
      <c r="J203" s="63" t="s">
        <v>247</v>
      </c>
    </row>
    <row r="204" spans="1:10" ht="15" customHeight="1" x14ac:dyDescent="0.3">
      <c r="A204" s="41">
        <f t="shared" si="95"/>
        <v>135</v>
      </c>
      <c r="B204" s="42">
        <v>9788327106759</v>
      </c>
      <c r="C204" s="60" t="s">
        <v>55</v>
      </c>
      <c r="D204" s="52">
        <v>44.9</v>
      </c>
      <c r="E204" s="44">
        <f t="shared" si="93"/>
        <v>29.19</v>
      </c>
      <c r="F204" s="45">
        <v>5</v>
      </c>
      <c r="G204" s="46"/>
      <c r="H204" s="84">
        <f t="shared" si="94"/>
        <v>0</v>
      </c>
      <c r="I204" s="47" t="s">
        <v>5</v>
      </c>
      <c r="J204" s="63" t="s">
        <v>248</v>
      </c>
    </row>
    <row r="205" spans="1:10" ht="14.4" x14ac:dyDescent="0.3">
      <c r="A205" s="41">
        <f t="shared" si="95"/>
        <v>136</v>
      </c>
      <c r="B205" s="42">
        <v>9788327107039</v>
      </c>
      <c r="C205" s="60" t="s">
        <v>243</v>
      </c>
      <c r="D205" s="52">
        <v>44.9</v>
      </c>
      <c r="E205" s="44">
        <f t="shared" si="93"/>
        <v>29.19</v>
      </c>
      <c r="F205" s="45">
        <v>5</v>
      </c>
      <c r="G205" s="46"/>
      <c r="H205" s="84">
        <f t="shared" si="94"/>
        <v>0</v>
      </c>
      <c r="I205" s="47" t="s">
        <v>5</v>
      </c>
      <c r="J205" s="63" t="s">
        <v>249</v>
      </c>
    </row>
    <row r="206" spans="1:10" ht="28.8" customHeight="1" x14ac:dyDescent="0.3">
      <c r="A206" s="77"/>
      <c r="B206" s="78"/>
      <c r="C206" s="78"/>
      <c r="D206" s="65" t="s">
        <v>241</v>
      </c>
      <c r="E206" s="78"/>
      <c r="F206" s="78"/>
      <c r="G206" s="78"/>
      <c r="H206" s="85"/>
      <c r="I206" s="78"/>
      <c r="J206" s="79"/>
    </row>
    <row r="207" spans="1:10" ht="28.2" customHeight="1" x14ac:dyDescent="0.3">
      <c r="A207" s="35" t="s">
        <v>0</v>
      </c>
      <c r="B207" s="35" t="s">
        <v>1</v>
      </c>
      <c r="C207" s="36" t="s">
        <v>2</v>
      </c>
      <c r="D207" s="37" t="s">
        <v>163</v>
      </c>
      <c r="E207" s="37" t="s">
        <v>164</v>
      </c>
      <c r="F207" s="38" t="s">
        <v>3</v>
      </c>
      <c r="G207" s="39" t="s">
        <v>165</v>
      </c>
      <c r="H207" s="17" t="s">
        <v>166</v>
      </c>
      <c r="I207" s="39" t="s">
        <v>180</v>
      </c>
      <c r="J207" s="40" t="s">
        <v>4</v>
      </c>
    </row>
    <row r="208" spans="1:10" ht="15" customHeight="1" x14ac:dyDescent="0.3">
      <c r="A208" s="41">
        <f>A205+1</f>
        <v>137</v>
      </c>
      <c r="B208" s="42">
        <v>9788327107237</v>
      </c>
      <c r="C208" s="48" t="s">
        <v>50</v>
      </c>
      <c r="D208" s="52">
        <v>44.9</v>
      </c>
      <c r="E208" s="44">
        <f>ROUND(D208*0.65,2)</f>
        <v>29.19</v>
      </c>
      <c r="F208" s="45">
        <v>5</v>
      </c>
      <c r="G208" s="46"/>
      <c r="H208" s="84">
        <f t="shared" ref="H208:H211" si="96">G208*D208</f>
        <v>0</v>
      </c>
      <c r="I208" s="47" t="s">
        <v>5</v>
      </c>
      <c r="J208" s="63" t="s">
        <v>380</v>
      </c>
    </row>
    <row r="209" spans="1:10" ht="15" customHeight="1" x14ac:dyDescent="0.3">
      <c r="A209" s="41">
        <f t="shared" ref="A209:A211" si="97">A208+1</f>
        <v>138</v>
      </c>
      <c r="B209" s="42">
        <v>9788327107251</v>
      </c>
      <c r="C209" s="60" t="s">
        <v>60</v>
      </c>
      <c r="D209" s="52">
        <v>39.9</v>
      </c>
      <c r="E209" s="44">
        <f>ROUND(D209*0.65,2)</f>
        <v>25.94</v>
      </c>
      <c r="F209" s="45">
        <f ca="1">IFERROR(__xludf.DUMMYFUNCTION("VLOOKUP($B17,IMPORTRANGE(""https://docs.google.com/spreadsheets/d/12kJeOb3DLWWg8o7sW1QICZ8qsKlcv9OfYjohcMhA61g/edit#gid=1661307685=share"", ""PUBLICAT!A:K""),5,0)"),5)</f>
        <v>5</v>
      </c>
      <c r="G209" s="46"/>
      <c r="H209" s="84">
        <f t="shared" si="96"/>
        <v>0</v>
      </c>
      <c r="I209" s="47" t="s">
        <v>5</v>
      </c>
      <c r="J209" s="63" t="s">
        <v>381</v>
      </c>
    </row>
    <row r="210" spans="1:10" ht="15" customHeight="1" x14ac:dyDescent="0.3">
      <c r="A210" s="41">
        <f t="shared" si="97"/>
        <v>139</v>
      </c>
      <c r="B210" s="42">
        <v>9788327107244</v>
      </c>
      <c r="C210" s="60" t="s">
        <v>61</v>
      </c>
      <c r="D210" s="52">
        <v>49.9</v>
      </c>
      <c r="E210" s="44">
        <f>ROUND(D210*0.65,2)</f>
        <v>32.44</v>
      </c>
      <c r="F210" s="45">
        <f ca="1">IFERROR(__xludf.DUMMYFUNCTION("VLOOKUP($B17,IMPORTRANGE(""https://docs.google.com/spreadsheets/d/12kJeOb3DLWWg8o7sW1QICZ8qsKlcv9OfYjohcMhA61g/edit#gid=1661307685=share"", ""PUBLICAT!A:K""),5,0)"),5)</f>
        <v>5</v>
      </c>
      <c r="G210" s="46"/>
      <c r="H210" s="84">
        <f t="shared" si="96"/>
        <v>0</v>
      </c>
      <c r="I210" s="47" t="s">
        <v>5</v>
      </c>
      <c r="J210" s="63" t="s">
        <v>382</v>
      </c>
    </row>
    <row r="211" spans="1:10" ht="15" customHeight="1" x14ac:dyDescent="0.3">
      <c r="A211" s="41">
        <f t="shared" si="97"/>
        <v>140</v>
      </c>
      <c r="B211" s="42">
        <v>9788327105653</v>
      </c>
      <c r="C211" s="51" t="s">
        <v>242</v>
      </c>
      <c r="D211" s="52">
        <v>49.9</v>
      </c>
      <c r="E211" s="44">
        <f>ROUND(D211*0.65,2)</f>
        <v>32.44</v>
      </c>
      <c r="F211" s="45">
        <f ca="1">IFERROR(__xludf.DUMMYFUNCTION("VLOOKUP($B17,IMPORTRANGE(""https://docs.google.com/spreadsheets/d/12kJeOb3DLWWg8o7sW1QICZ8qsKlcv9OfYjohcMhA61g/edit#gid=1661307685=share"", ""PUBLICAT!A:K""),5,0)"),5)</f>
        <v>5</v>
      </c>
      <c r="G211" s="46"/>
      <c r="H211" s="84">
        <f t="shared" si="96"/>
        <v>0</v>
      </c>
      <c r="I211" s="47" t="s">
        <v>5</v>
      </c>
      <c r="J211" s="63" t="s">
        <v>383</v>
      </c>
    </row>
    <row r="212" spans="1:10" s="70" customFormat="1" ht="81" customHeight="1" x14ac:dyDescent="0.3">
      <c r="A212" s="70" t="s">
        <v>323</v>
      </c>
      <c r="B212" s="70" t="s">
        <v>323</v>
      </c>
      <c r="C212" s="70" t="s">
        <v>323</v>
      </c>
      <c r="D212" s="71" t="s">
        <v>323</v>
      </c>
      <c r="E212" s="70" t="s">
        <v>323</v>
      </c>
      <c r="F212" s="70" t="s">
        <v>323</v>
      </c>
      <c r="G212" s="72" t="s">
        <v>323</v>
      </c>
      <c r="H212" s="86" t="s">
        <v>323</v>
      </c>
      <c r="I212" s="70" t="s">
        <v>323</v>
      </c>
      <c r="J212" s="70" t="s">
        <v>323</v>
      </c>
    </row>
    <row r="213" spans="1:10" ht="39" customHeight="1" x14ac:dyDescent="0.3">
      <c r="A213" s="80"/>
      <c r="B213" s="80"/>
      <c r="C213" s="80"/>
      <c r="D213" s="81" t="s">
        <v>224</v>
      </c>
      <c r="E213" s="80"/>
      <c r="F213" s="80"/>
      <c r="G213" s="80"/>
      <c r="H213" s="87"/>
      <c r="I213" s="80"/>
      <c r="J213" s="80"/>
    </row>
    <row r="214" spans="1:10" s="70" customFormat="1" ht="132.6" customHeight="1" x14ac:dyDescent="0.3">
      <c r="A214" s="69" t="s">
        <v>323</v>
      </c>
      <c r="B214" s="69" t="s">
        <v>323</v>
      </c>
      <c r="C214" s="69" t="s">
        <v>323</v>
      </c>
      <c r="D214" s="69" t="s">
        <v>323</v>
      </c>
      <c r="E214" s="69" t="s">
        <v>323</v>
      </c>
      <c r="F214" s="69" t="s">
        <v>323</v>
      </c>
      <c r="G214" s="69" t="s">
        <v>323</v>
      </c>
      <c r="H214" s="83" t="s">
        <v>323</v>
      </c>
      <c r="I214" s="69" t="s">
        <v>323</v>
      </c>
      <c r="J214" s="69" t="s">
        <v>323</v>
      </c>
    </row>
    <row r="215" spans="1:10" ht="28.2" customHeight="1" x14ac:dyDescent="0.3">
      <c r="A215" s="1" t="s">
        <v>0</v>
      </c>
      <c r="B215" s="1" t="s">
        <v>1</v>
      </c>
      <c r="C215" s="28" t="s">
        <v>2</v>
      </c>
      <c r="D215" s="10" t="s">
        <v>163</v>
      </c>
      <c r="E215" s="11" t="s">
        <v>164</v>
      </c>
      <c r="F215" s="8" t="s">
        <v>3</v>
      </c>
      <c r="G215" s="17" t="s">
        <v>165</v>
      </c>
      <c r="H215" s="17" t="s">
        <v>166</v>
      </c>
      <c r="I215" s="17" t="s">
        <v>180</v>
      </c>
      <c r="J215" s="9" t="s">
        <v>4</v>
      </c>
    </row>
    <row r="216" spans="1:10" ht="15" customHeight="1" x14ac:dyDescent="0.3">
      <c r="A216" s="2">
        <f>A211+1</f>
        <v>141</v>
      </c>
      <c r="B216" s="7">
        <v>9788327126962</v>
      </c>
      <c r="C216" s="15" t="s">
        <v>118</v>
      </c>
      <c r="D216" s="52">
        <v>59.9</v>
      </c>
      <c r="E216" s="12">
        <f t="shared" ref="E216:E229" si="98">ROUND(D216*0.65,2)</f>
        <v>38.94</v>
      </c>
      <c r="F216" s="3">
        <f ca="1">IFERROR(__xludf.DUMMYFUNCTION("VLOOKUP($B150,IMPORTRANGE(""https://docs.google.com/spreadsheets/d/12kJeOb3DLWWg8o7sW1QICZ8qsKlcv9OfYjohcMhA61g/edit#gid=1661307685=share"", ""PUBLICAT!A:K""),5,0)"),5)</f>
        <v>5</v>
      </c>
      <c r="G216" s="19"/>
      <c r="H216" s="84">
        <f t="shared" ref="H216:H229" si="99">G216*D216</f>
        <v>0</v>
      </c>
      <c r="I216" s="47" t="s">
        <v>5</v>
      </c>
      <c r="J216" s="4" t="str">
        <f ca="1">IFERROR(__xludf.DUMMYFUNCTION("VLOOKUP($B150,IMPORTRANGE(""https://docs.google.com/spreadsheets/d/1MKJD7C_CKp2_LboH2OnBUiaFdTdVMOriGBVcGuRPO9Y/edit#gid=0=share"", ""Baza!A:K""),7,0)"),"000732")</f>
        <v>000732</v>
      </c>
    </row>
    <row r="217" spans="1:10" ht="15" customHeight="1" x14ac:dyDescent="0.3">
      <c r="A217" s="2">
        <v>148</v>
      </c>
      <c r="B217" s="7">
        <v>9788327127365</v>
      </c>
      <c r="C217" s="16" t="s">
        <v>119</v>
      </c>
      <c r="D217" s="52">
        <v>59.9</v>
      </c>
      <c r="E217" s="12">
        <f t="shared" si="98"/>
        <v>38.94</v>
      </c>
      <c r="F217" s="3">
        <f ca="1">IFERROR(__xludf.DUMMYFUNCTION("VLOOKUP($B151,IMPORTRANGE(""https://docs.google.com/spreadsheets/d/12kJeOb3DLWWg8o7sW1QICZ8qsKlcv9OfYjohcMhA61g/edit#gid=1661307685=share"", ""PUBLICAT!A:K""),5,0)"),5)</f>
        <v>5</v>
      </c>
      <c r="G217" s="19"/>
      <c r="H217" s="84">
        <f t="shared" si="99"/>
        <v>0</v>
      </c>
      <c r="I217" s="47" t="s">
        <v>5</v>
      </c>
      <c r="J217" s="4" t="str">
        <f ca="1">IFERROR(__xludf.DUMMYFUNCTION("VLOOKUP($B151,IMPORTRANGE(""https://docs.google.com/spreadsheets/d/1MKJD7C_CKp2_LboH2OnBUiaFdTdVMOriGBVcGuRPO9Y/edit#gid=0=share"", ""Baza!A:K""),7,0)"),"002168")</f>
        <v>002168</v>
      </c>
    </row>
    <row r="218" spans="1:10" ht="15" customHeight="1" x14ac:dyDescent="0.3">
      <c r="A218" s="41">
        <f t="shared" ref="A218:A228" si="100">A217+1</f>
        <v>149</v>
      </c>
      <c r="B218" s="7">
        <v>9788327126917</v>
      </c>
      <c r="C218" s="16" t="s">
        <v>120</v>
      </c>
      <c r="D218" s="52">
        <v>59.9</v>
      </c>
      <c r="E218" s="12">
        <f t="shared" si="98"/>
        <v>38.94</v>
      </c>
      <c r="F218" s="3">
        <f ca="1">IFERROR(__xludf.DUMMYFUNCTION("VLOOKUP($B152,IMPORTRANGE(""https://docs.google.com/spreadsheets/d/12kJeOb3DLWWg8o7sW1QICZ8qsKlcv9OfYjohcMhA61g/edit#gid=1661307685=share"", ""PUBLICAT!A:K""),5,0)"),5)</f>
        <v>5</v>
      </c>
      <c r="G218" s="19"/>
      <c r="H218" s="84">
        <f t="shared" si="99"/>
        <v>0</v>
      </c>
      <c r="I218" s="47" t="s">
        <v>5</v>
      </c>
      <c r="J218" s="4" t="str">
        <f ca="1">IFERROR(__xludf.DUMMYFUNCTION("VLOOKUP($B152,IMPORTRANGE(""https://docs.google.com/spreadsheets/d/1MKJD7C_CKp2_LboH2OnBUiaFdTdVMOriGBVcGuRPO9Y/edit#gid=0=share"", ""Baza!A:K""),7,0)"),"000751")</f>
        <v>000751</v>
      </c>
    </row>
    <row r="219" spans="1:10" ht="15" customHeight="1" x14ac:dyDescent="0.3">
      <c r="A219" s="41">
        <f t="shared" si="100"/>
        <v>150</v>
      </c>
      <c r="B219" s="7">
        <v>9788327126689</v>
      </c>
      <c r="C219" s="15" t="s">
        <v>121</v>
      </c>
      <c r="D219" s="52">
        <v>59.9</v>
      </c>
      <c r="E219" s="12">
        <f t="shared" si="98"/>
        <v>38.94</v>
      </c>
      <c r="F219" s="3">
        <f ca="1">IFERROR(__xludf.DUMMYFUNCTION("VLOOKUP($B153,IMPORTRANGE(""https://docs.google.com/spreadsheets/d/12kJeOb3DLWWg8o7sW1QICZ8qsKlcv9OfYjohcMhA61g/edit#gid=1661307685=share"", ""PUBLICAT!A:K""),5,0)"),5)</f>
        <v>5</v>
      </c>
      <c r="G219" s="19"/>
      <c r="H219" s="84">
        <f t="shared" si="99"/>
        <v>0</v>
      </c>
      <c r="I219" s="47" t="s">
        <v>5</v>
      </c>
      <c r="J219" s="4" t="str">
        <f ca="1">IFERROR(__xludf.DUMMYFUNCTION("VLOOKUP($B153,IMPORTRANGE(""https://docs.google.com/spreadsheets/d/1MKJD7C_CKp2_LboH2OnBUiaFdTdVMOriGBVcGuRPO9Y/edit#gid=0=share"", ""Baza!A:K""),7,0)"),"000757")</f>
        <v>000757</v>
      </c>
    </row>
    <row r="220" spans="1:10" ht="15" customHeight="1" x14ac:dyDescent="0.3">
      <c r="A220" s="41">
        <f t="shared" si="100"/>
        <v>151</v>
      </c>
      <c r="B220" s="7">
        <v>9788327126542</v>
      </c>
      <c r="C220" s="15" t="s">
        <v>122</v>
      </c>
      <c r="D220" s="52">
        <v>59.9</v>
      </c>
      <c r="E220" s="12">
        <f t="shared" si="98"/>
        <v>38.94</v>
      </c>
      <c r="F220" s="3">
        <f ca="1">IFERROR(__xludf.DUMMYFUNCTION("VLOOKUP($B154,IMPORTRANGE(""https://docs.google.com/spreadsheets/d/12kJeOb3DLWWg8o7sW1QICZ8qsKlcv9OfYjohcMhA61g/edit#gid=1661307685=share"", ""PUBLICAT!A:K""),5,0)"),5)</f>
        <v>5</v>
      </c>
      <c r="G220" s="19"/>
      <c r="H220" s="84">
        <f t="shared" si="99"/>
        <v>0</v>
      </c>
      <c r="I220" s="47" t="s">
        <v>5</v>
      </c>
      <c r="J220" s="4" t="str">
        <f ca="1">IFERROR(__xludf.DUMMYFUNCTION("VLOOKUP($B154,IMPORTRANGE(""https://docs.google.com/spreadsheets/d/1MKJD7C_CKp2_LboH2OnBUiaFdTdVMOriGBVcGuRPO9Y/edit#gid=0=share"", ""Baza!A:K""),7,0)"),"000769")</f>
        <v>000769</v>
      </c>
    </row>
    <row r="221" spans="1:10" ht="15" customHeight="1" x14ac:dyDescent="0.3">
      <c r="A221" s="41">
        <f t="shared" si="100"/>
        <v>152</v>
      </c>
      <c r="B221" s="7">
        <v>9788327126634</v>
      </c>
      <c r="C221" s="15" t="s">
        <v>123</v>
      </c>
      <c r="D221" s="52">
        <v>59.9</v>
      </c>
      <c r="E221" s="12">
        <f t="shared" si="98"/>
        <v>38.94</v>
      </c>
      <c r="F221" s="3">
        <f ca="1">IFERROR(__xludf.DUMMYFUNCTION("VLOOKUP($B155,IMPORTRANGE(""https://docs.google.com/spreadsheets/d/12kJeOb3DLWWg8o7sW1QICZ8qsKlcv9OfYjohcMhA61g/edit#gid=1661307685=share"", ""PUBLICAT!A:K""),5,0)"),5)</f>
        <v>5</v>
      </c>
      <c r="G221" s="19"/>
      <c r="H221" s="84">
        <f t="shared" si="99"/>
        <v>0</v>
      </c>
      <c r="I221" s="47" t="s">
        <v>5</v>
      </c>
      <c r="J221" s="4" t="str">
        <f ca="1">IFERROR(__xludf.DUMMYFUNCTION("VLOOKUP($B155,IMPORTRANGE(""https://docs.google.com/spreadsheets/d/1MKJD7C_CKp2_LboH2OnBUiaFdTdVMOriGBVcGuRPO9Y/edit#gid=0=share"", ""Baza!A:K""),7,0)"),"000772")</f>
        <v>000772</v>
      </c>
    </row>
    <row r="222" spans="1:10" ht="15" customHeight="1" x14ac:dyDescent="0.3">
      <c r="A222" s="41">
        <f t="shared" si="100"/>
        <v>153</v>
      </c>
      <c r="B222" s="7">
        <v>9788327126696</v>
      </c>
      <c r="C222" s="15" t="s">
        <v>125</v>
      </c>
      <c r="D222" s="52">
        <v>59.9</v>
      </c>
      <c r="E222" s="12">
        <f t="shared" si="98"/>
        <v>38.94</v>
      </c>
      <c r="F222" s="3">
        <f ca="1">IFERROR(__xludf.DUMMYFUNCTION("VLOOKUP($B157,IMPORTRANGE(""https://docs.google.com/spreadsheets/d/12kJeOb3DLWWg8o7sW1QICZ8qsKlcv9OfYjohcMhA61g/edit#gid=1661307685=share"", ""PUBLICAT!A:K""),5,0)"),5)</f>
        <v>5</v>
      </c>
      <c r="G222" s="19"/>
      <c r="H222" s="84">
        <f t="shared" si="99"/>
        <v>0</v>
      </c>
      <c r="I222" s="47" t="s">
        <v>5</v>
      </c>
      <c r="J222" s="4" t="str">
        <f ca="1">IFERROR(__xludf.DUMMYFUNCTION("VLOOKUP($B157,IMPORTRANGE(""https://docs.google.com/spreadsheets/d/1MKJD7C_CKp2_LboH2OnBUiaFdTdVMOriGBVcGuRPO9Y/edit#gid=0=share"", ""Baza!A:K""),7,0)"),"000801")</f>
        <v>000801</v>
      </c>
    </row>
    <row r="223" spans="1:10" ht="15" customHeight="1" x14ac:dyDescent="0.3">
      <c r="A223" s="41">
        <f t="shared" si="100"/>
        <v>154</v>
      </c>
      <c r="B223" s="7">
        <v>9788327126719</v>
      </c>
      <c r="C223" s="15" t="s">
        <v>126</v>
      </c>
      <c r="D223" s="52">
        <v>59.9</v>
      </c>
      <c r="E223" s="12">
        <f t="shared" si="98"/>
        <v>38.94</v>
      </c>
      <c r="F223" s="3">
        <f ca="1">IFERROR(__xludf.DUMMYFUNCTION("VLOOKUP($B158,IMPORTRANGE(""https://docs.google.com/spreadsheets/d/12kJeOb3DLWWg8o7sW1QICZ8qsKlcv9OfYjohcMhA61g/edit#gid=1661307685=share"", ""PUBLICAT!A:K""),5,0)"),5)</f>
        <v>5</v>
      </c>
      <c r="G223" s="19"/>
      <c r="H223" s="84">
        <f t="shared" si="99"/>
        <v>0</v>
      </c>
      <c r="I223" s="47" t="s">
        <v>5</v>
      </c>
      <c r="J223" s="4" t="str">
        <f ca="1">IFERROR(__xludf.DUMMYFUNCTION("VLOOKUP($B158,IMPORTRANGE(""https://docs.google.com/spreadsheets/d/1MKJD7C_CKp2_LboH2OnBUiaFdTdVMOriGBVcGuRPO9Y/edit#gid=0=share"", ""Baza!A:K""),7,0)"),"000812")</f>
        <v>000812</v>
      </c>
    </row>
    <row r="224" spans="1:10" ht="15" customHeight="1" x14ac:dyDescent="0.3">
      <c r="A224" s="41">
        <f t="shared" si="100"/>
        <v>155</v>
      </c>
      <c r="B224" s="7">
        <v>9788327126375</v>
      </c>
      <c r="C224" s="15" t="s">
        <v>127</v>
      </c>
      <c r="D224" s="52">
        <v>59.9</v>
      </c>
      <c r="E224" s="12">
        <f t="shared" si="98"/>
        <v>38.94</v>
      </c>
      <c r="F224" s="3">
        <f ca="1">IFERROR(__xludf.DUMMYFUNCTION("VLOOKUP($B159,IMPORTRANGE(""https://docs.google.com/spreadsheets/d/12kJeOb3DLWWg8o7sW1QICZ8qsKlcv9OfYjohcMhA61g/edit#gid=1661307685=share"", ""PUBLICAT!A:K""),5,0)"),5)</f>
        <v>5</v>
      </c>
      <c r="G224" s="19"/>
      <c r="H224" s="84">
        <f t="shared" si="99"/>
        <v>0</v>
      </c>
      <c r="I224" s="47" t="s">
        <v>5</v>
      </c>
      <c r="J224" s="4" t="str">
        <f ca="1">IFERROR(__xludf.DUMMYFUNCTION("VLOOKUP($B159,IMPORTRANGE(""https://docs.google.com/spreadsheets/d/1MKJD7C_CKp2_LboH2OnBUiaFdTdVMOriGBVcGuRPO9Y/edit#gid=0=share"", ""Baza!A:K""),7,0)"),"000848")</f>
        <v>000848</v>
      </c>
    </row>
    <row r="225" spans="1:10" ht="15" customHeight="1" x14ac:dyDescent="0.3">
      <c r="A225" s="41">
        <f t="shared" si="100"/>
        <v>156</v>
      </c>
      <c r="B225" s="7">
        <v>9788327126559</v>
      </c>
      <c r="C225" s="15" t="s">
        <v>128</v>
      </c>
      <c r="D225" s="52">
        <v>59.9</v>
      </c>
      <c r="E225" s="12">
        <f t="shared" si="98"/>
        <v>38.94</v>
      </c>
      <c r="F225" s="3">
        <f ca="1">IFERROR(__xludf.DUMMYFUNCTION("VLOOKUP($B160,IMPORTRANGE(""https://docs.google.com/spreadsheets/d/12kJeOb3DLWWg8o7sW1QICZ8qsKlcv9OfYjohcMhA61g/edit#gid=1661307685=share"", ""PUBLICAT!A:K""),5,0)"),5)</f>
        <v>5</v>
      </c>
      <c r="G225" s="19"/>
      <c r="H225" s="84">
        <f t="shared" si="99"/>
        <v>0</v>
      </c>
      <c r="I225" s="47" t="s">
        <v>5</v>
      </c>
      <c r="J225" s="4" t="str">
        <f ca="1">IFERROR(__xludf.DUMMYFUNCTION("VLOOKUP($B160,IMPORTRANGE(""https://docs.google.com/spreadsheets/d/1MKJD7C_CKp2_LboH2OnBUiaFdTdVMOriGBVcGuRPO9Y/edit#gid=0=share"", ""Baza!A:K""),7,0)"),"000850")</f>
        <v>000850</v>
      </c>
    </row>
    <row r="226" spans="1:10" ht="15" customHeight="1" x14ac:dyDescent="0.3">
      <c r="A226" s="41">
        <f t="shared" si="100"/>
        <v>157</v>
      </c>
      <c r="B226" s="7">
        <v>9788327126702</v>
      </c>
      <c r="C226" s="15" t="s">
        <v>129</v>
      </c>
      <c r="D226" s="52">
        <v>59.9</v>
      </c>
      <c r="E226" s="12">
        <f t="shared" si="98"/>
        <v>38.94</v>
      </c>
      <c r="F226" s="3">
        <f ca="1">IFERROR(__xludf.DUMMYFUNCTION("VLOOKUP($B161,IMPORTRANGE(""https://docs.google.com/spreadsheets/d/12kJeOb3DLWWg8o7sW1QICZ8qsKlcv9OfYjohcMhA61g/edit#gid=1661307685=share"", ""PUBLICAT!A:K""),5,0)"),5)</f>
        <v>5</v>
      </c>
      <c r="G226" s="19"/>
      <c r="H226" s="84">
        <f t="shared" si="99"/>
        <v>0</v>
      </c>
      <c r="I226" s="47" t="s">
        <v>5</v>
      </c>
      <c r="J226" s="4" t="str">
        <f ca="1">IFERROR(__xludf.DUMMYFUNCTION("VLOOKUP($B161,IMPORTRANGE(""https://docs.google.com/spreadsheets/d/1MKJD7C_CKp2_LboH2OnBUiaFdTdVMOriGBVcGuRPO9Y/edit#gid=0=share"", ""Baza!A:K""),7,0)"),"000870")</f>
        <v>000870</v>
      </c>
    </row>
    <row r="227" spans="1:10" ht="20.399999999999999" x14ac:dyDescent="0.3">
      <c r="A227" s="41">
        <f t="shared" si="100"/>
        <v>158</v>
      </c>
      <c r="B227" s="7">
        <v>9788327126511</v>
      </c>
      <c r="C227" s="15" t="s">
        <v>130</v>
      </c>
      <c r="D227" s="52">
        <v>59.9</v>
      </c>
      <c r="E227" s="12">
        <f t="shared" si="98"/>
        <v>38.94</v>
      </c>
      <c r="F227" s="3">
        <f ca="1">IFERROR(__xludf.DUMMYFUNCTION("VLOOKUP($B162,IMPORTRANGE(""https://docs.google.com/spreadsheets/d/12kJeOb3DLWWg8o7sW1QICZ8qsKlcv9OfYjohcMhA61g/edit#gid=1661307685=share"", ""PUBLICAT!A:K""),5,0)"),5)</f>
        <v>5</v>
      </c>
      <c r="G227" s="19"/>
      <c r="H227" s="84">
        <f t="shared" si="99"/>
        <v>0</v>
      </c>
      <c r="I227" s="47" t="s">
        <v>5</v>
      </c>
      <c r="J227" s="4" t="str">
        <f ca="1">IFERROR(__xludf.DUMMYFUNCTION("VLOOKUP($B162,IMPORTRANGE(""https://docs.google.com/spreadsheets/d/1MKJD7C_CKp2_LboH2OnBUiaFdTdVMOriGBVcGuRPO9Y/edit#gid=0=share"", ""Baza!A:K""),7,0)"),"000873")</f>
        <v>000873</v>
      </c>
    </row>
    <row r="228" spans="1:10" ht="15" customHeight="1" x14ac:dyDescent="0.3">
      <c r="A228" s="41">
        <f t="shared" si="100"/>
        <v>159</v>
      </c>
      <c r="B228" s="7">
        <v>9788327127495</v>
      </c>
      <c r="C228" s="49" t="s">
        <v>251</v>
      </c>
      <c r="D228" s="52">
        <v>59.9</v>
      </c>
      <c r="E228" s="12">
        <f t="shared" si="98"/>
        <v>38.94</v>
      </c>
      <c r="F228" s="3">
        <f ca="1">IFERROR(__xludf.DUMMYFUNCTION("VLOOKUP($B162,IMPORTRANGE(""https://docs.google.com/spreadsheets/d/12kJeOb3DLWWg8o7sW1QICZ8qsKlcv9OfYjohcMhA61g/edit#gid=1661307685=share"", ""PUBLICAT!A:K""),5,0)"),5)</f>
        <v>5</v>
      </c>
      <c r="G228" s="19"/>
      <c r="H228" s="84">
        <f t="shared" si="99"/>
        <v>0</v>
      </c>
      <c r="I228" s="47" t="s">
        <v>5</v>
      </c>
      <c r="J228" s="63" t="s">
        <v>384</v>
      </c>
    </row>
    <row r="229" spans="1:10" ht="15" customHeight="1" x14ac:dyDescent="0.3">
      <c r="A229" s="41">
        <f t="shared" ref="A229" si="101">A228+1</f>
        <v>160</v>
      </c>
      <c r="B229" s="7">
        <v>9788327125781</v>
      </c>
      <c r="C229" s="49" t="s">
        <v>252</v>
      </c>
      <c r="D229" s="52">
        <v>34.9</v>
      </c>
      <c r="E229" s="12">
        <f t="shared" si="98"/>
        <v>22.69</v>
      </c>
      <c r="F229" s="3">
        <f ca="1">IFERROR(__xludf.DUMMYFUNCTION("VLOOKUP($B162,IMPORTRANGE(""https://docs.google.com/spreadsheets/d/12kJeOb3DLWWg8o7sW1QICZ8qsKlcv9OfYjohcMhA61g/edit#gid=1661307685=share"", ""PUBLICAT!A:K""),5,0)"),5)</f>
        <v>5</v>
      </c>
      <c r="G229" s="19"/>
      <c r="H229" s="84">
        <f t="shared" si="99"/>
        <v>0</v>
      </c>
      <c r="I229" s="47" t="s">
        <v>5</v>
      </c>
      <c r="J229" s="63" t="s">
        <v>385</v>
      </c>
    </row>
    <row r="230" spans="1:10" ht="28.8" customHeight="1" x14ac:dyDescent="0.3">
      <c r="A230" s="77"/>
      <c r="B230" s="78"/>
      <c r="C230" s="78"/>
      <c r="D230" s="65" t="s">
        <v>255</v>
      </c>
      <c r="E230" s="78"/>
      <c r="F230" s="78"/>
      <c r="G230" s="78"/>
      <c r="H230" s="85"/>
      <c r="I230" s="78"/>
      <c r="J230" s="79"/>
    </row>
    <row r="231" spans="1:10" ht="28.2" customHeight="1" x14ac:dyDescent="0.3">
      <c r="A231" s="35" t="s">
        <v>0</v>
      </c>
      <c r="B231" s="35" t="s">
        <v>1</v>
      </c>
      <c r="C231" s="36" t="s">
        <v>2</v>
      </c>
      <c r="D231" s="37" t="s">
        <v>163</v>
      </c>
      <c r="E231" s="37" t="s">
        <v>164</v>
      </c>
      <c r="F231" s="38" t="s">
        <v>3</v>
      </c>
      <c r="G231" s="39" t="s">
        <v>165</v>
      </c>
      <c r="H231" s="17" t="s">
        <v>166</v>
      </c>
      <c r="I231" s="39" t="s">
        <v>180</v>
      </c>
      <c r="J231" s="40" t="s">
        <v>4</v>
      </c>
    </row>
    <row r="232" spans="1:10" ht="15" customHeight="1" x14ac:dyDescent="0.3">
      <c r="A232" s="41">
        <f>A229+1</f>
        <v>161</v>
      </c>
      <c r="B232" s="7">
        <v>9788327106315</v>
      </c>
      <c r="C232" s="14" t="s">
        <v>11</v>
      </c>
      <c r="D232" s="6">
        <v>44.9</v>
      </c>
      <c r="E232" s="12">
        <f t="shared" ref="E232:E235" si="102">ROUND(D232*0.65,2)</f>
        <v>29.19</v>
      </c>
      <c r="F232" s="3">
        <v>5</v>
      </c>
      <c r="G232" s="19"/>
      <c r="H232" s="84">
        <f t="shared" ref="H232:H235" si="103">G232*D232</f>
        <v>0</v>
      </c>
      <c r="I232" s="5" t="s">
        <v>5</v>
      </c>
      <c r="J232" s="4" t="s">
        <v>256</v>
      </c>
    </row>
    <row r="233" spans="1:10" ht="15" customHeight="1" x14ac:dyDescent="0.3">
      <c r="A233" s="41">
        <f t="shared" ref="A233:A243" si="104">A232+1</f>
        <v>162</v>
      </c>
      <c r="B233" s="7">
        <v>9788327127198</v>
      </c>
      <c r="C233" s="16" t="s">
        <v>58</v>
      </c>
      <c r="D233" s="6">
        <v>44.9</v>
      </c>
      <c r="E233" s="12">
        <f t="shared" si="102"/>
        <v>29.19</v>
      </c>
      <c r="F233" s="3">
        <v>5</v>
      </c>
      <c r="G233" s="19"/>
      <c r="H233" s="84">
        <f t="shared" si="103"/>
        <v>0</v>
      </c>
      <c r="I233" s="5" t="s">
        <v>5</v>
      </c>
      <c r="J233" s="4" t="s">
        <v>257</v>
      </c>
    </row>
    <row r="234" spans="1:10" ht="15" customHeight="1" x14ac:dyDescent="0.3">
      <c r="A234" s="41">
        <f t="shared" si="104"/>
        <v>163</v>
      </c>
      <c r="B234" s="21">
        <v>9788327126337</v>
      </c>
      <c r="C234" s="27" t="s">
        <v>67</v>
      </c>
      <c r="D234" s="6">
        <v>44.9</v>
      </c>
      <c r="E234" s="12">
        <f t="shared" si="102"/>
        <v>29.19</v>
      </c>
      <c r="F234" s="24">
        <v>5</v>
      </c>
      <c r="G234" s="25"/>
      <c r="H234" s="84">
        <f t="shared" si="103"/>
        <v>0</v>
      </c>
      <c r="I234" s="26" t="s">
        <v>5</v>
      </c>
      <c r="J234" s="113" t="s">
        <v>258</v>
      </c>
    </row>
    <row r="235" spans="1:10" ht="15" customHeight="1" x14ac:dyDescent="0.3">
      <c r="A235" s="41">
        <f t="shared" si="104"/>
        <v>164</v>
      </c>
      <c r="B235" s="42">
        <v>9788327126320</v>
      </c>
      <c r="C235" s="51" t="s">
        <v>76</v>
      </c>
      <c r="D235" s="6">
        <v>44.9</v>
      </c>
      <c r="E235" s="12">
        <f t="shared" si="102"/>
        <v>29.19</v>
      </c>
      <c r="F235" s="45">
        <v>5</v>
      </c>
      <c r="G235" s="46"/>
      <c r="H235" s="84">
        <f t="shared" si="103"/>
        <v>0</v>
      </c>
      <c r="I235" s="47" t="s">
        <v>5</v>
      </c>
      <c r="J235" s="115" t="s">
        <v>259</v>
      </c>
    </row>
    <row r="236" spans="1:10" ht="28.8" customHeight="1" x14ac:dyDescent="0.3">
      <c r="A236" s="77"/>
      <c r="B236" s="78"/>
      <c r="C236" s="78"/>
      <c r="D236" s="65" t="s">
        <v>260</v>
      </c>
      <c r="E236" s="66"/>
      <c r="F236" s="66"/>
      <c r="G236" s="66"/>
      <c r="H236" s="88"/>
      <c r="I236" s="66"/>
      <c r="J236" s="66"/>
    </row>
    <row r="237" spans="1:10" ht="28.2" customHeight="1" x14ac:dyDescent="0.3">
      <c r="A237" s="35" t="s">
        <v>0</v>
      </c>
      <c r="B237" s="35" t="s">
        <v>1</v>
      </c>
      <c r="C237" s="36" t="s">
        <v>2</v>
      </c>
      <c r="D237" s="37" t="s">
        <v>163</v>
      </c>
      <c r="E237" s="37" t="s">
        <v>164</v>
      </c>
      <c r="F237" s="38" t="s">
        <v>3</v>
      </c>
      <c r="G237" s="39" t="s">
        <v>165</v>
      </c>
      <c r="H237" s="17" t="s">
        <v>166</v>
      </c>
      <c r="I237" s="39" t="s">
        <v>180</v>
      </c>
      <c r="J237" s="40" t="s">
        <v>4</v>
      </c>
    </row>
    <row r="238" spans="1:10" ht="15" customHeight="1" x14ac:dyDescent="0.3">
      <c r="A238" s="41">
        <f>A235+1</f>
        <v>165</v>
      </c>
      <c r="B238" s="7">
        <v>9788327126016</v>
      </c>
      <c r="C238" s="14" t="s">
        <v>12</v>
      </c>
      <c r="D238" s="6">
        <v>39.9</v>
      </c>
      <c r="E238" s="12">
        <f t="shared" ref="E238:E241" si="105">ROUND(D238*0.65,2)</f>
        <v>25.94</v>
      </c>
      <c r="F238" s="3">
        <f ca="1">IFERROR(__xludf.DUMMYFUNCTION("VLOOKUP($B14,IMPORTRANGE(""https://docs.google.com/spreadsheets/d/12kJeOb3DLWWg8o7sW1QICZ8qsKlcv9OfYjohcMhA61g/edit#gid=1661307685=share"", ""PUBLICAT!A:K""),5,0)"),5)</f>
        <v>5</v>
      </c>
      <c r="G238" s="19"/>
      <c r="H238" s="84">
        <f t="shared" ref="H238:H243" si="106">G238*D238</f>
        <v>0</v>
      </c>
      <c r="I238" s="5" t="s">
        <v>5</v>
      </c>
      <c r="J238" s="4" t="str">
        <f ca="1">IFERROR(__xludf.DUMMYFUNCTION("VLOOKUP($B14,IMPORTRANGE(""https://docs.google.com/spreadsheets/d/1MKJD7C_CKp2_LboH2OnBUiaFdTdVMOriGBVcGuRPO9Y/edit#gid=0=share"", ""Baza!A:K""),7,0)"),"002232")</f>
        <v>002232</v>
      </c>
    </row>
    <row r="239" spans="1:10" ht="15" customHeight="1" x14ac:dyDescent="0.3">
      <c r="A239" s="41">
        <f t="shared" si="104"/>
        <v>166</v>
      </c>
      <c r="B239" s="7">
        <v>9788327127037</v>
      </c>
      <c r="C239" s="14" t="s">
        <v>13</v>
      </c>
      <c r="D239" s="6">
        <v>29.9</v>
      </c>
      <c r="E239" s="12">
        <f t="shared" si="105"/>
        <v>19.440000000000001</v>
      </c>
      <c r="F239" s="3">
        <f ca="1">IFERROR(__xludf.DUMMYFUNCTION("VLOOKUP($B15,IMPORTRANGE(""https://docs.google.com/spreadsheets/d/12kJeOb3DLWWg8o7sW1QICZ8qsKlcv9OfYjohcMhA61g/edit#gid=1661307685=share"", ""PUBLICAT!A:K""),5,0)"),5)</f>
        <v>5</v>
      </c>
      <c r="G239" s="19"/>
      <c r="H239" s="84">
        <f t="shared" si="106"/>
        <v>0</v>
      </c>
      <c r="I239" s="5" t="s">
        <v>5</v>
      </c>
      <c r="J239" s="4" t="str">
        <f ca="1">IFERROR(__xludf.DUMMYFUNCTION("VLOOKUP($B15,IMPORTRANGE(""https://docs.google.com/spreadsheets/d/1MKJD7C_CKp2_LboH2OnBUiaFdTdVMOriGBVcGuRPO9Y/edit#gid=0=share"", ""Baza!A:K""),7,0)"),"002233")</f>
        <v>002233</v>
      </c>
    </row>
    <row r="240" spans="1:10" ht="15" customHeight="1" x14ac:dyDescent="0.3">
      <c r="A240" s="41">
        <f t="shared" si="104"/>
        <v>167</v>
      </c>
      <c r="B240" s="7">
        <v>9788327103895</v>
      </c>
      <c r="C240" s="14" t="s">
        <v>7</v>
      </c>
      <c r="D240" s="6">
        <v>39.9</v>
      </c>
      <c r="E240" s="12">
        <f t="shared" si="105"/>
        <v>25.94</v>
      </c>
      <c r="F240" s="3">
        <f ca="1">IFERROR(__xludf.DUMMYFUNCTION("VLOOKUP($B8,IMPORTRANGE(""https://docs.google.com/spreadsheets/d/12kJeOb3DLWWg8o7sW1QICZ8qsKlcv9OfYjohcMhA61g/edit#gid=1661307685=share"", ""PUBLICAT!A:K""),5,0)"),5)</f>
        <v>5</v>
      </c>
      <c r="G240" s="19"/>
      <c r="H240" s="84">
        <f t="shared" si="106"/>
        <v>0</v>
      </c>
      <c r="I240" s="5" t="s">
        <v>5</v>
      </c>
      <c r="J240" s="4" t="str">
        <f ca="1">IFERROR(__xludf.DUMMYFUNCTION("VLOOKUP($B8,IMPORTRANGE(""https://docs.google.com/spreadsheets/d/1MKJD7C_CKp2_LboH2OnBUiaFdTdVMOriGBVcGuRPO9Y/edit#gid=0=share"", ""Baza!A:K""),7,0)"),"002226")</f>
        <v>002226</v>
      </c>
    </row>
    <row r="241" spans="1:10" ht="15" customHeight="1" x14ac:dyDescent="0.3">
      <c r="A241" s="41">
        <f t="shared" si="104"/>
        <v>168</v>
      </c>
      <c r="B241" s="7">
        <v>9788327105158</v>
      </c>
      <c r="C241" s="14" t="s">
        <v>8</v>
      </c>
      <c r="D241" s="6">
        <v>39.9</v>
      </c>
      <c r="E241" s="12">
        <f t="shared" si="105"/>
        <v>25.94</v>
      </c>
      <c r="F241" s="3">
        <f ca="1">IFERROR(__xludf.DUMMYFUNCTION("VLOOKUP($B9,IMPORTRANGE(""https://docs.google.com/spreadsheets/d/12kJeOb3DLWWg8o7sW1QICZ8qsKlcv9OfYjohcMhA61g/edit#gid=1661307685=share"", ""PUBLICAT!A:K""),5,0)"),5)</f>
        <v>5</v>
      </c>
      <c r="G241" s="19"/>
      <c r="H241" s="84">
        <f t="shared" si="106"/>
        <v>0</v>
      </c>
      <c r="I241" s="5" t="s">
        <v>5</v>
      </c>
      <c r="J241" s="4" t="str">
        <f ca="1">IFERROR(__xludf.DUMMYFUNCTION("VLOOKUP($B9,IMPORTRANGE(""https://docs.google.com/spreadsheets/d/1MKJD7C_CKp2_LboH2OnBUiaFdTdVMOriGBVcGuRPO9Y/edit#gid=0=share"", ""Baza!A:K""),7,0)"),"002227")</f>
        <v>002227</v>
      </c>
    </row>
    <row r="242" spans="1:10" ht="15" customHeight="1" x14ac:dyDescent="0.3">
      <c r="A242" s="41">
        <f t="shared" si="104"/>
        <v>169</v>
      </c>
      <c r="B242" s="7">
        <v>9788327103888</v>
      </c>
      <c r="C242" s="14" t="s">
        <v>9</v>
      </c>
      <c r="D242" s="6">
        <v>39.9</v>
      </c>
      <c r="E242" s="12">
        <f>ROUND(D242*0.65,2)</f>
        <v>25.94</v>
      </c>
      <c r="F242" s="3">
        <f ca="1">IFERROR(__xludf.DUMMYFUNCTION("VLOOKUP($B10,IMPORTRANGE(""https://docs.google.com/spreadsheets/d/12kJeOb3DLWWg8o7sW1QICZ8qsKlcv9OfYjohcMhA61g/edit#gid=1661307685=share"", ""PUBLICAT!A:K""),5,0)"),5)</f>
        <v>5</v>
      </c>
      <c r="G242" s="19"/>
      <c r="H242" s="84">
        <f t="shared" si="106"/>
        <v>0</v>
      </c>
      <c r="I242" s="5" t="s">
        <v>5</v>
      </c>
      <c r="J242" s="4" t="str">
        <f ca="1">IFERROR(__xludf.DUMMYFUNCTION("VLOOKUP($B10,IMPORTRANGE(""https://docs.google.com/spreadsheets/d/1MKJD7C_CKp2_LboH2OnBUiaFdTdVMOriGBVcGuRPO9Y/edit#gid=0=share"", ""Baza!A:K""),7,0)"),"002228")</f>
        <v>002228</v>
      </c>
    </row>
    <row r="243" spans="1:10" ht="15" customHeight="1" x14ac:dyDescent="0.3">
      <c r="A243" s="41">
        <f t="shared" si="104"/>
        <v>170</v>
      </c>
      <c r="B243" s="7">
        <v>9788327127211</v>
      </c>
      <c r="C243" s="15" t="s">
        <v>80</v>
      </c>
      <c r="D243" s="6">
        <v>149</v>
      </c>
      <c r="E243" s="12">
        <f t="shared" ref="E243" si="107">ROUND(D243*0.65,2)</f>
        <v>96.85</v>
      </c>
      <c r="F243" s="3">
        <v>5</v>
      </c>
      <c r="G243" s="19"/>
      <c r="H243" s="84">
        <f t="shared" si="106"/>
        <v>0</v>
      </c>
      <c r="I243" s="5" t="s">
        <v>5</v>
      </c>
      <c r="J243" s="4" t="s">
        <v>262</v>
      </c>
    </row>
    <row r="244" spans="1:10" ht="132.6" customHeight="1" x14ac:dyDescent="0.3">
      <c r="A244" s="69" t="s">
        <v>323</v>
      </c>
      <c r="B244" s="69" t="s">
        <v>323</v>
      </c>
      <c r="C244" s="69" t="s">
        <v>323</v>
      </c>
      <c r="D244" s="69" t="s">
        <v>323</v>
      </c>
      <c r="E244" s="69" t="s">
        <v>323</v>
      </c>
      <c r="F244" s="69" t="s">
        <v>323</v>
      </c>
      <c r="G244" s="69" t="s">
        <v>323</v>
      </c>
      <c r="H244" s="83" t="s">
        <v>323</v>
      </c>
      <c r="I244" s="69" t="s">
        <v>323</v>
      </c>
      <c r="J244" s="69" t="s">
        <v>323</v>
      </c>
    </row>
    <row r="245" spans="1:10" ht="28.2" customHeight="1" x14ac:dyDescent="0.3">
      <c r="A245" s="35" t="s">
        <v>0</v>
      </c>
      <c r="B245" s="35" t="s">
        <v>1</v>
      </c>
      <c r="C245" s="36" t="s">
        <v>2</v>
      </c>
      <c r="D245" s="37" t="s">
        <v>163</v>
      </c>
      <c r="E245" s="37" t="s">
        <v>164</v>
      </c>
      <c r="F245" s="38" t="s">
        <v>3</v>
      </c>
      <c r="G245" s="39" t="s">
        <v>165</v>
      </c>
      <c r="H245" s="17" t="s">
        <v>166</v>
      </c>
      <c r="I245" s="39" t="s">
        <v>180</v>
      </c>
      <c r="J245" s="40" t="s">
        <v>4</v>
      </c>
    </row>
    <row r="246" spans="1:10" ht="15" customHeight="1" x14ac:dyDescent="0.3">
      <c r="A246" s="41">
        <f>A243+1</f>
        <v>171</v>
      </c>
      <c r="B246" s="7">
        <v>9788327127334</v>
      </c>
      <c r="C246" s="16" t="s">
        <v>97</v>
      </c>
      <c r="D246" s="6">
        <v>49.9</v>
      </c>
      <c r="E246" s="12">
        <f t="shared" ref="E246:E254" si="108">ROUND(D246*0.65,2)</f>
        <v>32.44</v>
      </c>
      <c r="F246" s="3">
        <f ca="1">IFERROR(__xludf.DUMMYFUNCTION("VLOOKUP($B126,IMPORTRANGE(""https://docs.google.com/spreadsheets/d/12kJeOb3DLWWg8o7sW1QICZ8qsKlcv9OfYjohcMhA61g/edit#gid=1661307685=share"", ""PUBLICAT!A:K""),5,0)"),5)</f>
        <v>5</v>
      </c>
      <c r="G246" s="19"/>
      <c r="H246" s="84">
        <f t="shared" ref="H246:H254" si="109">G246*D246</f>
        <v>0</v>
      </c>
      <c r="I246" s="47" t="s">
        <v>5</v>
      </c>
      <c r="J246" s="4" t="str">
        <f ca="1">IFERROR(__xludf.DUMMYFUNCTION("VLOOKUP($B126,IMPORTRANGE(""https://docs.google.com/spreadsheets/d/1MKJD7C_CKp2_LboH2OnBUiaFdTdVMOriGBVcGuRPO9Y/edit#gid=0=share"", ""Baza!A:K""),7,0)"),"002212")</f>
        <v>002212</v>
      </c>
    </row>
    <row r="247" spans="1:10" ht="15" customHeight="1" x14ac:dyDescent="0.3">
      <c r="A247" s="41">
        <f t="shared" ref="A247:A297" si="110">A246+1</f>
        <v>172</v>
      </c>
      <c r="B247" s="7">
        <v>9788327127280</v>
      </c>
      <c r="C247" s="16" t="s">
        <v>98</v>
      </c>
      <c r="D247" s="6">
        <v>39.9</v>
      </c>
      <c r="E247" s="12">
        <f t="shared" si="108"/>
        <v>25.94</v>
      </c>
      <c r="F247" s="3">
        <f ca="1">IFERROR(__xludf.DUMMYFUNCTION("VLOOKUP($B127,IMPORTRANGE(""https://docs.google.com/spreadsheets/d/12kJeOb3DLWWg8o7sW1QICZ8qsKlcv9OfYjohcMhA61g/edit#gid=1661307685=share"", ""PUBLICAT!A:K""),5,0)"),5)</f>
        <v>5</v>
      </c>
      <c r="G247" s="19"/>
      <c r="H247" s="84">
        <f t="shared" si="109"/>
        <v>0</v>
      </c>
      <c r="I247" s="47" t="s">
        <v>5</v>
      </c>
      <c r="J247" s="4" t="str">
        <f ca="1">IFERROR(__xludf.DUMMYFUNCTION("VLOOKUP($B127,IMPORTRANGE(""https://docs.google.com/spreadsheets/d/1MKJD7C_CKp2_LboH2OnBUiaFdTdVMOriGBVcGuRPO9Y/edit#gid=0=share"", ""Baza!A:K""),7,0)"),"002164")</f>
        <v>002164</v>
      </c>
    </row>
    <row r="248" spans="1:10" ht="15" customHeight="1" x14ac:dyDescent="0.3">
      <c r="A248" s="41">
        <f t="shared" si="110"/>
        <v>173</v>
      </c>
      <c r="B248" s="7">
        <v>9788327126672</v>
      </c>
      <c r="C248" s="15" t="s">
        <v>99</v>
      </c>
      <c r="D248" s="6">
        <v>44.9</v>
      </c>
      <c r="E248" s="12">
        <f t="shared" si="108"/>
        <v>29.19</v>
      </c>
      <c r="F248" s="3">
        <f ca="1">IFERROR(__xludf.DUMMYFUNCTION("VLOOKUP($B128,IMPORTRANGE(""https://docs.google.com/spreadsheets/d/12kJeOb3DLWWg8o7sW1QICZ8qsKlcv9OfYjohcMhA61g/edit#gid=1661307685=share"", ""PUBLICAT!A:K""),5,0)"),5)</f>
        <v>5</v>
      </c>
      <c r="G248" s="19"/>
      <c r="H248" s="84">
        <f t="shared" si="109"/>
        <v>0</v>
      </c>
      <c r="I248" s="47" t="s">
        <v>5</v>
      </c>
      <c r="J248" s="4" t="str">
        <f ca="1">IFERROR(__xludf.DUMMYFUNCTION("VLOOKUP($B128,IMPORTRANGE(""https://docs.google.com/spreadsheets/d/1MKJD7C_CKp2_LboH2OnBUiaFdTdVMOriGBVcGuRPO9Y/edit#gid=0=share"", ""Baza!A:K""),7,0)"),"000842")</f>
        <v>000842</v>
      </c>
    </row>
    <row r="249" spans="1:10" ht="15" customHeight="1" x14ac:dyDescent="0.3">
      <c r="A249" s="41">
        <f t="shared" si="110"/>
        <v>174</v>
      </c>
      <c r="B249" s="7">
        <v>9788327127167</v>
      </c>
      <c r="C249" s="16" t="s">
        <v>100</v>
      </c>
      <c r="D249" s="6">
        <v>44.9</v>
      </c>
      <c r="E249" s="12">
        <f t="shared" si="108"/>
        <v>29.19</v>
      </c>
      <c r="F249" s="3">
        <f ca="1">IFERROR(__xludf.DUMMYFUNCTION("VLOOKUP($B129,IMPORTRANGE(""https://docs.google.com/spreadsheets/d/12kJeOb3DLWWg8o7sW1QICZ8qsKlcv9OfYjohcMhA61g/edit#gid=1661307685=share"", ""PUBLICAT!A:K""),5,0)"),5)</f>
        <v>5</v>
      </c>
      <c r="G249" s="19"/>
      <c r="H249" s="84">
        <f t="shared" si="109"/>
        <v>0</v>
      </c>
      <c r="I249" s="47" t="s">
        <v>5</v>
      </c>
      <c r="J249" s="4" t="str">
        <f ca="1">IFERROR(__xludf.DUMMYFUNCTION("VLOOKUP($B129,IMPORTRANGE(""https://docs.google.com/spreadsheets/d/1MKJD7C_CKp2_LboH2OnBUiaFdTdVMOriGBVcGuRPO9Y/edit#gid=0=share"", ""Baza!A:K""),7,0)"),"002108")</f>
        <v>002108</v>
      </c>
    </row>
    <row r="250" spans="1:10" ht="15" customHeight="1" x14ac:dyDescent="0.3">
      <c r="A250" s="53">
        <f t="shared" si="110"/>
        <v>175</v>
      </c>
      <c r="B250" s="21">
        <v>9788327127174</v>
      </c>
      <c r="C250" s="22" t="s">
        <v>101</v>
      </c>
      <c r="D250" s="23">
        <v>44.9</v>
      </c>
      <c r="E250" s="12">
        <f t="shared" si="108"/>
        <v>29.19</v>
      </c>
      <c r="F250" s="24">
        <f ca="1">IFERROR(__xludf.DUMMYFUNCTION("VLOOKUP($B130,IMPORTRANGE(""https://docs.google.com/spreadsheets/d/12kJeOb3DLWWg8o7sW1QICZ8qsKlcv9OfYjohcMhA61g/edit#gid=1661307685=share"", ""PUBLICAT!A:K""),5,0)"),5)</f>
        <v>5</v>
      </c>
      <c r="G250" s="25"/>
      <c r="H250" s="84">
        <f t="shared" si="109"/>
        <v>0</v>
      </c>
      <c r="I250" s="50" t="s">
        <v>5</v>
      </c>
      <c r="J250" s="113" t="str">
        <f ca="1">IFERROR(__xludf.DUMMYFUNCTION("VLOOKUP($B130,IMPORTRANGE(""https://docs.google.com/spreadsheets/d/1MKJD7C_CKp2_LboH2OnBUiaFdTdVMOriGBVcGuRPO9Y/edit#gid=0=share"", ""Baza!A:K""),7,0)"),"002109")</f>
        <v>002109</v>
      </c>
    </row>
    <row r="251" spans="1:10" ht="15" customHeight="1" x14ac:dyDescent="0.3">
      <c r="A251" s="41">
        <f t="shared" si="110"/>
        <v>176</v>
      </c>
      <c r="B251" s="42">
        <v>9788327126665</v>
      </c>
      <c r="C251" s="48" t="s">
        <v>102</v>
      </c>
      <c r="D251" s="52">
        <v>44.9</v>
      </c>
      <c r="E251" s="12">
        <f t="shared" si="108"/>
        <v>29.19</v>
      </c>
      <c r="F251" s="45">
        <f ca="1">IFERROR(__xludf.DUMMYFUNCTION("VLOOKUP($B131,IMPORTRANGE(""https://docs.google.com/spreadsheets/d/12kJeOb3DLWWg8o7sW1QICZ8qsKlcv9OfYjohcMhA61g/edit#gid=1661307685=share"", ""PUBLICAT!A:K""),5,0)"),5)</f>
        <v>5</v>
      </c>
      <c r="G251" s="46"/>
      <c r="H251" s="84">
        <f t="shared" si="109"/>
        <v>0</v>
      </c>
      <c r="I251" s="47" t="s">
        <v>5</v>
      </c>
      <c r="J251" s="115" t="str">
        <f ca="1">IFERROR(__xludf.DUMMYFUNCTION("VLOOKUP($B131,IMPORTRANGE(""https://docs.google.com/spreadsheets/d/1MKJD7C_CKp2_LboH2OnBUiaFdTdVMOriGBVcGuRPO9Y/edit#gid=0=share"", ""Baza!A:K""),7,0)"),"000844")</f>
        <v>000844</v>
      </c>
    </row>
    <row r="252" spans="1:10" ht="15" customHeight="1" x14ac:dyDescent="0.3">
      <c r="A252" s="41">
        <f t="shared" si="110"/>
        <v>177</v>
      </c>
      <c r="B252" s="42">
        <v>9788327126863</v>
      </c>
      <c r="C252" s="48" t="s">
        <v>103</v>
      </c>
      <c r="D252" s="52">
        <v>39.9</v>
      </c>
      <c r="E252" s="12">
        <f t="shared" si="108"/>
        <v>25.94</v>
      </c>
      <c r="F252" s="45">
        <f ca="1">IFERROR(__xludf.DUMMYFUNCTION("VLOOKUP($B133,IMPORTRANGE(""https://docs.google.com/spreadsheets/d/12kJeOb3DLWWg8o7sW1QICZ8qsKlcv9OfYjohcMhA61g/edit#gid=1661307685=share"", ""PUBLICAT!A:K""),5,0)"),5)</f>
        <v>5</v>
      </c>
      <c r="G252" s="46"/>
      <c r="H252" s="84">
        <f t="shared" si="109"/>
        <v>0</v>
      </c>
      <c r="I252" s="47" t="s">
        <v>5</v>
      </c>
      <c r="J252" s="115" t="str">
        <f ca="1">IFERROR(__xludf.DUMMYFUNCTION("VLOOKUP($B133,IMPORTRANGE(""https://docs.google.com/spreadsheets/d/1MKJD7C_CKp2_LboH2OnBUiaFdTdVMOriGBVcGuRPO9Y/edit#gid=0=share"", ""Baza!A:K""),7,0)"),"001320")</f>
        <v>001320</v>
      </c>
    </row>
    <row r="253" spans="1:10" ht="15" customHeight="1" x14ac:dyDescent="0.3">
      <c r="A253" s="41">
        <f t="shared" si="110"/>
        <v>178</v>
      </c>
      <c r="B253" s="42">
        <v>9788327126856</v>
      </c>
      <c r="C253" s="48" t="s">
        <v>104</v>
      </c>
      <c r="D253" s="52">
        <v>39.9</v>
      </c>
      <c r="E253" s="12">
        <f t="shared" si="108"/>
        <v>25.94</v>
      </c>
      <c r="F253" s="45">
        <f ca="1">IFERROR(__xludf.DUMMYFUNCTION("VLOOKUP($B134,IMPORTRANGE(""https://docs.google.com/spreadsheets/d/12kJeOb3DLWWg8o7sW1QICZ8qsKlcv9OfYjohcMhA61g/edit#gid=1661307685=share"", ""PUBLICAT!A:K""),5,0)"),5)</f>
        <v>5</v>
      </c>
      <c r="G253" s="46"/>
      <c r="H253" s="84">
        <f t="shared" si="109"/>
        <v>0</v>
      </c>
      <c r="I253" s="47" t="s">
        <v>5</v>
      </c>
      <c r="J253" s="115" t="str">
        <f ca="1">IFERROR(__xludf.DUMMYFUNCTION("VLOOKUP($B134,IMPORTRANGE(""https://docs.google.com/spreadsheets/d/1MKJD7C_CKp2_LboH2OnBUiaFdTdVMOriGBVcGuRPO9Y/edit#gid=0=share"", ""Baza!A:K""),7,0)"),"000846")</f>
        <v>000846</v>
      </c>
    </row>
    <row r="254" spans="1:10" ht="15" customHeight="1" x14ac:dyDescent="0.3">
      <c r="A254" s="41">
        <f t="shared" si="110"/>
        <v>179</v>
      </c>
      <c r="B254" s="42">
        <v>9788327126740</v>
      </c>
      <c r="C254" s="48" t="s">
        <v>105</v>
      </c>
      <c r="D254" s="105">
        <v>79</v>
      </c>
      <c r="E254" s="12">
        <f t="shared" si="108"/>
        <v>51.35</v>
      </c>
      <c r="F254" s="45">
        <f ca="1">IFERROR(__xludf.DUMMYFUNCTION("VLOOKUP($B135,IMPORTRANGE(""https://docs.google.com/spreadsheets/d/12kJeOb3DLWWg8o7sW1QICZ8qsKlcv9OfYjohcMhA61g/edit#gid=1661307685=share"", ""PUBLICAT!A:K""),5,0)"),5)</f>
        <v>5</v>
      </c>
      <c r="G254" s="46"/>
      <c r="H254" s="84">
        <f t="shared" si="109"/>
        <v>0</v>
      </c>
      <c r="I254" s="47" t="s">
        <v>5</v>
      </c>
      <c r="J254" s="115" t="str">
        <f ca="1">IFERROR(__xludf.DUMMYFUNCTION("VLOOKUP($B135,IMPORTRANGE(""https://docs.google.com/spreadsheets/d/1MKJD7C_CKp2_LboH2OnBUiaFdTdVMOriGBVcGuRPO9Y/edit#gid=0=share"", ""Baza!A:K""),7,0)"),"000852")</f>
        <v>000852</v>
      </c>
    </row>
    <row r="255" spans="1:10" ht="28.2" customHeight="1" x14ac:dyDescent="0.3">
      <c r="A255" s="35" t="s">
        <v>0</v>
      </c>
      <c r="B255" s="35" t="s">
        <v>1</v>
      </c>
      <c r="C255" s="36" t="s">
        <v>2</v>
      </c>
      <c r="D255" s="37" t="s">
        <v>163</v>
      </c>
      <c r="E255" s="37" t="s">
        <v>164</v>
      </c>
      <c r="F255" s="38" t="s">
        <v>3</v>
      </c>
      <c r="G255" s="39" t="s">
        <v>165</v>
      </c>
      <c r="H255" s="17" t="s">
        <v>166</v>
      </c>
      <c r="I255" s="39" t="s">
        <v>180</v>
      </c>
      <c r="J255" s="40" t="s">
        <v>4</v>
      </c>
    </row>
    <row r="256" spans="1:10" ht="15" customHeight="1" x14ac:dyDescent="0.3">
      <c r="A256" s="41">
        <f>A254+1</f>
        <v>180</v>
      </c>
      <c r="B256" s="42">
        <v>9788327126573</v>
      </c>
      <c r="C256" s="48" t="s">
        <v>106</v>
      </c>
      <c r="D256" s="52">
        <v>59.9</v>
      </c>
      <c r="E256" s="12">
        <f t="shared" ref="E256:E266" si="111">ROUND(D256*0.65,2)</f>
        <v>38.94</v>
      </c>
      <c r="F256" s="45">
        <v>5</v>
      </c>
      <c r="G256" s="46"/>
      <c r="H256" s="84">
        <f t="shared" ref="H256:H266" si="112">G256*D256</f>
        <v>0</v>
      </c>
      <c r="I256" s="47" t="s">
        <v>5</v>
      </c>
      <c r="J256" s="115" t="str">
        <f ca="1">IFERROR(__xludf.DUMMYFUNCTION("VLOOKUP($B136,IMPORTRANGE(""https://docs.google.com/spreadsheets/d/1MKJD7C_CKp2_LboH2OnBUiaFdTdVMOriGBVcGuRPO9Y/edit#gid=0=share"", ""Baza!A:K""),7,0)"),"000853")</f>
        <v>000853</v>
      </c>
    </row>
    <row r="257" spans="1:10" ht="15" customHeight="1" x14ac:dyDescent="0.3">
      <c r="A257" s="41">
        <f t="shared" si="110"/>
        <v>181</v>
      </c>
      <c r="B257" s="42">
        <v>9788327126986</v>
      </c>
      <c r="C257" s="48" t="s">
        <v>107</v>
      </c>
      <c r="D257" s="52">
        <v>42.9</v>
      </c>
      <c r="E257" s="12">
        <f t="shared" si="111"/>
        <v>27.89</v>
      </c>
      <c r="F257" s="45">
        <f ca="1">IFERROR(__xludf.DUMMYFUNCTION("VLOOKUP($B137,IMPORTRANGE(""https://docs.google.com/spreadsheets/d/12kJeOb3DLWWg8o7sW1QICZ8qsKlcv9OfYjohcMhA61g/edit#gid=1661307685=share"", ""PUBLICAT!A:K""),5,0)"),5)</f>
        <v>5</v>
      </c>
      <c r="G257" s="46"/>
      <c r="H257" s="84">
        <f t="shared" si="112"/>
        <v>0</v>
      </c>
      <c r="I257" s="47" t="s">
        <v>5</v>
      </c>
      <c r="J257" s="115" t="str">
        <f ca="1">IFERROR(__xludf.DUMMYFUNCTION("VLOOKUP($B137,IMPORTRANGE(""https://docs.google.com/spreadsheets/d/1MKJD7C_CKp2_LboH2OnBUiaFdTdVMOriGBVcGuRPO9Y/edit#gid=0=share"", ""Baza!A:K""),7,0)"),"001321")</f>
        <v>001321</v>
      </c>
    </row>
    <row r="258" spans="1:10" ht="15" customHeight="1" x14ac:dyDescent="0.3">
      <c r="A258" s="41">
        <f t="shared" si="110"/>
        <v>182</v>
      </c>
      <c r="B258" s="42">
        <v>9788327126405</v>
      </c>
      <c r="C258" s="48" t="s">
        <v>108</v>
      </c>
      <c r="D258" s="52">
        <v>79</v>
      </c>
      <c r="E258" s="12">
        <f t="shared" si="111"/>
        <v>51.35</v>
      </c>
      <c r="F258" s="45">
        <f ca="1">IFERROR(__xludf.DUMMYFUNCTION("VLOOKUP($B138,IMPORTRANGE(""https://docs.google.com/spreadsheets/d/12kJeOb3DLWWg8o7sW1QICZ8qsKlcv9OfYjohcMhA61g/edit#gid=1661307685=share"", ""PUBLICAT!A:K""),5,0)"),5)</f>
        <v>5</v>
      </c>
      <c r="G258" s="46"/>
      <c r="H258" s="84">
        <f t="shared" si="112"/>
        <v>0</v>
      </c>
      <c r="I258" s="47" t="s">
        <v>5</v>
      </c>
      <c r="J258" s="115" t="str">
        <f ca="1">IFERROR(__xludf.DUMMYFUNCTION("VLOOKUP($B138,IMPORTRANGE(""https://docs.google.com/spreadsheets/d/1MKJD7C_CKp2_LboH2OnBUiaFdTdVMOriGBVcGuRPO9Y/edit#gid=0=share"", ""Baza!A:K""),7,0)"),"000855")</f>
        <v>000855</v>
      </c>
    </row>
    <row r="259" spans="1:10" ht="15" customHeight="1" x14ac:dyDescent="0.3">
      <c r="A259" s="41">
        <f t="shared" si="110"/>
        <v>183</v>
      </c>
      <c r="B259" s="42">
        <v>9788327126795</v>
      </c>
      <c r="C259" s="43" t="s">
        <v>109</v>
      </c>
      <c r="D259" s="52">
        <v>44.9</v>
      </c>
      <c r="E259" s="12">
        <f t="shared" si="111"/>
        <v>29.19</v>
      </c>
      <c r="F259" s="45">
        <f ca="1">IFERROR(__xludf.DUMMYFUNCTION("VLOOKUP($B139,IMPORTRANGE(""https://docs.google.com/spreadsheets/d/12kJeOb3DLWWg8o7sW1QICZ8qsKlcv9OfYjohcMhA61g/edit#gid=1661307685=share"", ""PUBLICAT!A:K""),5,0)"),5)</f>
        <v>5</v>
      </c>
      <c r="G259" s="46"/>
      <c r="H259" s="84">
        <f t="shared" si="112"/>
        <v>0</v>
      </c>
      <c r="I259" s="47" t="s">
        <v>5</v>
      </c>
      <c r="J259" s="115" t="str">
        <f ca="1">IFERROR(__xludf.DUMMYFUNCTION("VLOOKUP($B139,IMPORTRANGE(""https://docs.google.com/spreadsheets/d/1MKJD7C_CKp2_LboH2OnBUiaFdTdVMOriGBVcGuRPO9Y/edit#gid=0=share"", ""Baza!A:K""),7,0)"),"000856")</f>
        <v>000856</v>
      </c>
    </row>
    <row r="260" spans="1:10" ht="15" customHeight="1" x14ac:dyDescent="0.3">
      <c r="A260" s="41">
        <f t="shared" si="110"/>
        <v>184</v>
      </c>
      <c r="B260" s="42">
        <v>9788327127150</v>
      </c>
      <c r="C260" s="51" t="s">
        <v>254</v>
      </c>
      <c r="D260" s="52">
        <v>44.9</v>
      </c>
      <c r="E260" s="12">
        <f t="shared" si="111"/>
        <v>29.19</v>
      </c>
      <c r="F260" s="45">
        <f ca="1">IFERROR(__xludf.DUMMYFUNCTION("VLOOKUP($B140,IMPORTRANGE(""https://docs.google.com/spreadsheets/d/12kJeOb3DLWWg8o7sW1QICZ8qsKlcv9OfYjohcMhA61g/edit#gid=1661307685=share"", ""PUBLICAT!A:K""),5,0)"),5)</f>
        <v>5</v>
      </c>
      <c r="G260" s="46"/>
      <c r="H260" s="84">
        <f t="shared" si="112"/>
        <v>0</v>
      </c>
      <c r="I260" s="47" t="s">
        <v>5</v>
      </c>
      <c r="J260" s="115" t="str">
        <f ca="1">IFERROR(__xludf.DUMMYFUNCTION("VLOOKUP($B140,IMPORTRANGE(""https://docs.google.com/spreadsheets/d/1MKJD7C_CKp2_LboH2OnBUiaFdTdVMOriGBVcGuRPO9Y/edit#gid=0=share"", ""Baza!A:K""),7,0)"),"002102")</f>
        <v>002102</v>
      </c>
    </row>
    <row r="261" spans="1:10" ht="15" customHeight="1" x14ac:dyDescent="0.3">
      <c r="A261" s="41">
        <f>A260+1</f>
        <v>185</v>
      </c>
      <c r="B261" s="42">
        <v>9788327126504</v>
      </c>
      <c r="C261" s="48" t="s">
        <v>115</v>
      </c>
      <c r="D261" s="52">
        <v>44.9</v>
      </c>
      <c r="E261" s="12">
        <f t="shared" si="111"/>
        <v>29.19</v>
      </c>
      <c r="F261" s="45">
        <f ca="1">IFERROR(__xludf.DUMMYFUNCTION("VLOOKUP($B146,IMPORTRANGE(""https://docs.google.com/spreadsheets/d/12kJeOb3DLWWg8o7sW1QICZ8qsKlcv9OfYjohcMhA61g/edit#gid=1661307685=share"", ""PUBLICAT!A:K""),5,0)"),5)</f>
        <v>5</v>
      </c>
      <c r="G261" s="46"/>
      <c r="H261" s="84">
        <f t="shared" si="112"/>
        <v>0</v>
      </c>
      <c r="I261" s="47" t="s">
        <v>5</v>
      </c>
      <c r="J261" s="115" t="str">
        <f ca="1">IFERROR(__xludf.DUMMYFUNCTION("VLOOKUP($B146,IMPORTRANGE(""https://docs.google.com/spreadsheets/d/1MKJD7C_CKp2_LboH2OnBUiaFdTdVMOriGBVcGuRPO9Y/edit#gid=0=share"", ""Baza!A:K""),7,0)"),"000863")</f>
        <v>000863</v>
      </c>
    </row>
    <row r="262" spans="1:10" ht="15" customHeight="1" x14ac:dyDescent="0.3">
      <c r="A262" s="41">
        <f t="shared" si="110"/>
        <v>186</v>
      </c>
      <c r="B262" s="42">
        <v>9788327126436</v>
      </c>
      <c r="C262" s="48" t="s">
        <v>110</v>
      </c>
      <c r="D262" s="52">
        <v>79</v>
      </c>
      <c r="E262" s="12">
        <f t="shared" si="111"/>
        <v>51.35</v>
      </c>
      <c r="F262" s="45">
        <f ca="1">IFERROR(__xludf.DUMMYFUNCTION("VLOOKUP($B141,IMPORTRANGE(""https://docs.google.com/spreadsheets/d/12kJeOb3DLWWg8o7sW1QICZ8qsKlcv9OfYjohcMhA61g/edit#gid=1661307685=share"", ""PUBLICAT!A:K""),5,0)"),5)</f>
        <v>5</v>
      </c>
      <c r="G262" s="46"/>
      <c r="H262" s="84">
        <f t="shared" si="112"/>
        <v>0</v>
      </c>
      <c r="I262" s="47" t="s">
        <v>5</v>
      </c>
      <c r="J262" s="115" t="str">
        <f ca="1">IFERROR(__xludf.DUMMYFUNCTION("VLOOKUP($B141,IMPORTRANGE(""https://docs.google.com/spreadsheets/d/1MKJD7C_CKp2_LboH2OnBUiaFdTdVMOriGBVcGuRPO9Y/edit#gid=0=share"", ""Baza!A:K""),7,0)"),"000857")</f>
        <v>000857</v>
      </c>
    </row>
    <row r="263" spans="1:10" ht="15" customHeight="1" x14ac:dyDescent="0.3">
      <c r="A263" s="41">
        <f t="shared" si="110"/>
        <v>187</v>
      </c>
      <c r="B263" s="42">
        <v>9788327126429</v>
      </c>
      <c r="C263" s="48" t="s">
        <v>111</v>
      </c>
      <c r="D263" s="52">
        <v>79</v>
      </c>
      <c r="E263" s="12">
        <f t="shared" si="111"/>
        <v>51.35</v>
      </c>
      <c r="F263" s="45">
        <f ca="1">IFERROR(__xludf.DUMMYFUNCTION("VLOOKUP($B142,IMPORTRANGE(""https://docs.google.com/spreadsheets/d/12kJeOb3DLWWg8o7sW1QICZ8qsKlcv9OfYjohcMhA61g/edit#gid=1661307685=share"", ""PUBLICAT!A:K""),5,0)"),5)</f>
        <v>5</v>
      </c>
      <c r="G263" s="46"/>
      <c r="H263" s="84">
        <f t="shared" si="112"/>
        <v>0</v>
      </c>
      <c r="I263" s="47" t="s">
        <v>5</v>
      </c>
      <c r="J263" s="115" t="str">
        <f ca="1">IFERROR(__xludf.DUMMYFUNCTION("VLOOKUP($B142,IMPORTRANGE(""https://docs.google.com/spreadsheets/d/1MKJD7C_CKp2_LboH2OnBUiaFdTdVMOriGBVcGuRPO9Y/edit#gid=0=share"", ""Baza!A:K""),7,0)"),"000859")</f>
        <v>000859</v>
      </c>
    </row>
    <row r="264" spans="1:10" ht="15" customHeight="1" x14ac:dyDescent="0.3">
      <c r="A264" s="41">
        <f t="shared" si="110"/>
        <v>188</v>
      </c>
      <c r="B264" s="42">
        <v>9788327126733</v>
      </c>
      <c r="C264" s="48" t="s">
        <v>112</v>
      </c>
      <c r="D264" s="52">
        <v>79</v>
      </c>
      <c r="E264" s="12">
        <f t="shared" si="111"/>
        <v>51.35</v>
      </c>
      <c r="F264" s="45">
        <f ca="1">IFERROR(__xludf.DUMMYFUNCTION("VLOOKUP($B143,IMPORTRANGE(""https://docs.google.com/spreadsheets/d/12kJeOb3DLWWg8o7sW1QICZ8qsKlcv9OfYjohcMhA61g/edit#gid=1661307685=share"", ""PUBLICAT!A:K""),5,0)"),5)</f>
        <v>5</v>
      </c>
      <c r="G264" s="46"/>
      <c r="H264" s="84">
        <f t="shared" si="112"/>
        <v>0</v>
      </c>
      <c r="I264" s="47" t="s">
        <v>5</v>
      </c>
      <c r="J264" s="115" t="str">
        <f ca="1">IFERROR(__xludf.DUMMYFUNCTION("VLOOKUP($B143,IMPORTRANGE(""https://docs.google.com/spreadsheets/d/1MKJD7C_CKp2_LboH2OnBUiaFdTdVMOriGBVcGuRPO9Y/edit#gid=0=share"", ""Baza!A:K""),7,0)"),"001764")</f>
        <v>001764</v>
      </c>
    </row>
    <row r="265" spans="1:10" ht="15" customHeight="1" x14ac:dyDescent="0.3">
      <c r="A265" s="41">
        <f t="shared" si="110"/>
        <v>189</v>
      </c>
      <c r="B265" s="42">
        <v>9788327126498</v>
      </c>
      <c r="C265" s="48" t="s">
        <v>113</v>
      </c>
      <c r="D265" s="52">
        <v>89</v>
      </c>
      <c r="E265" s="12">
        <f t="shared" si="111"/>
        <v>57.85</v>
      </c>
      <c r="F265" s="45">
        <f ca="1">IFERROR(__xludf.DUMMYFUNCTION("VLOOKUP($B144,IMPORTRANGE(""https://docs.google.com/spreadsheets/d/12kJeOb3DLWWg8o7sW1QICZ8qsKlcv9OfYjohcMhA61g/edit#gid=1661307685=share"", ""PUBLICAT!A:K""),5,0)"),5)</f>
        <v>5</v>
      </c>
      <c r="G265" s="46"/>
      <c r="H265" s="84">
        <f t="shared" si="112"/>
        <v>0</v>
      </c>
      <c r="I265" s="47" t="s">
        <v>5</v>
      </c>
      <c r="J265" s="115" t="str">
        <f ca="1">IFERROR(__xludf.DUMMYFUNCTION("VLOOKUP($B144,IMPORTRANGE(""https://docs.google.com/spreadsheets/d/1MKJD7C_CKp2_LboH2OnBUiaFdTdVMOriGBVcGuRPO9Y/edit#gid=0=share"", ""Baza!A:K""),7,0)"),"000861")</f>
        <v>000861</v>
      </c>
    </row>
    <row r="266" spans="1:10" ht="15" customHeight="1" x14ac:dyDescent="0.3">
      <c r="A266" s="41">
        <f t="shared" si="110"/>
        <v>190</v>
      </c>
      <c r="B266" s="42">
        <v>9788327126412</v>
      </c>
      <c r="C266" s="48" t="s">
        <v>114</v>
      </c>
      <c r="D266" s="52">
        <v>79</v>
      </c>
      <c r="E266" s="12">
        <f t="shared" si="111"/>
        <v>51.35</v>
      </c>
      <c r="F266" s="45">
        <f ca="1">IFERROR(__xludf.DUMMYFUNCTION("VLOOKUP($B145,IMPORTRANGE(""https://docs.google.com/spreadsheets/d/12kJeOb3DLWWg8o7sW1QICZ8qsKlcv9OfYjohcMhA61g/edit#gid=1661307685=share"", ""PUBLICAT!A:K""),5,0)"),5)</f>
        <v>5</v>
      </c>
      <c r="G266" s="46"/>
      <c r="H266" s="84">
        <f t="shared" si="112"/>
        <v>0</v>
      </c>
      <c r="I266" s="47" t="s">
        <v>5</v>
      </c>
      <c r="J266" s="115" t="str">
        <f ca="1">IFERROR(__xludf.DUMMYFUNCTION("VLOOKUP($B145,IMPORTRANGE(""https://docs.google.com/spreadsheets/d/1MKJD7C_CKp2_LboH2OnBUiaFdTdVMOriGBVcGuRPO9Y/edit#gid=0=share"", ""Baza!A:K""),7,0)"),"000862")</f>
        <v>000862</v>
      </c>
    </row>
    <row r="267" spans="1:10" ht="28.8" customHeight="1" x14ac:dyDescent="0.3">
      <c r="A267" s="77"/>
      <c r="B267" s="78"/>
      <c r="C267" s="78"/>
      <c r="D267" s="65" t="s">
        <v>253</v>
      </c>
      <c r="E267" s="78"/>
      <c r="F267" s="78"/>
      <c r="G267" s="78"/>
      <c r="H267" s="85"/>
      <c r="I267" s="78"/>
      <c r="J267" s="79"/>
    </row>
    <row r="268" spans="1:10" ht="28.2" customHeight="1" x14ac:dyDescent="0.3">
      <c r="A268" s="35" t="s">
        <v>0</v>
      </c>
      <c r="B268" s="35" t="s">
        <v>1</v>
      </c>
      <c r="C268" s="36" t="s">
        <v>2</v>
      </c>
      <c r="D268" s="37" t="s">
        <v>163</v>
      </c>
      <c r="E268" s="37" t="s">
        <v>164</v>
      </c>
      <c r="F268" s="38" t="s">
        <v>3</v>
      </c>
      <c r="G268" s="39" t="s">
        <v>165</v>
      </c>
      <c r="H268" s="17" t="s">
        <v>166</v>
      </c>
      <c r="I268" s="39" t="s">
        <v>180</v>
      </c>
      <c r="J268" s="40" t="s">
        <v>4</v>
      </c>
    </row>
    <row r="269" spans="1:10" ht="15" customHeight="1" x14ac:dyDescent="0.3">
      <c r="A269" s="41">
        <f>A266+1</f>
        <v>191</v>
      </c>
      <c r="B269" s="42">
        <v>9788327126849</v>
      </c>
      <c r="C269" s="51" t="s">
        <v>269</v>
      </c>
      <c r="D269" s="52">
        <v>49.9</v>
      </c>
      <c r="E269" s="12">
        <f t="shared" ref="E269:E272" si="113">ROUND(D269*0.65,2)</f>
        <v>32.44</v>
      </c>
      <c r="F269" s="3">
        <f ca="1">IFERROR(__xludf.DUMMYFUNCTION("VLOOKUP($B145,IMPORTRANGE(""https://docs.google.com/spreadsheets/d/12kJeOb3DLWWg8o7sW1QICZ8qsKlcv9OfYjohcMhA61g/edit#gid=1661307685=share"", ""PUBLICAT!A:K""),5,0)"),5)</f>
        <v>5</v>
      </c>
      <c r="G269" s="19"/>
      <c r="H269" s="84">
        <f t="shared" ref="H269:H272" si="114">G269*D269</f>
        <v>0</v>
      </c>
      <c r="I269" s="47" t="s">
        <v>5</v>
      </c>
      <c r="J269" s="63" t="s">
        <v>386</v>
      </c>
    </row>
    <row r="270" spans="1:10" ht="15" customHeight="1" x14ac:dyDescent="0.3">
      <c r="A270" s="41">
        <f t="shared" si="110"/>
        <v>192</v>
      </c>
      <c r="B270" s="42">
        <v>9788327127068</v>
      </c>
      <c r="C270" s="51" t="s">
        <v>270</v>
      </c>
      <c r="D270" s="52">
        <v>49.9</v>
      </c>
      <c r="E270" s="12">
        <f t="shared" si="113"/>
        <v>32.44</v>
      </c>
      <c r="F270" s="3">
        <f ca="1">IFERROR(__xludf.DUMMYFUNCTION("VLOOKUP($B145,IMPORTRANGE(""https://docs.google.com/spreadsheets/d/12kJeOb3DLWWg8o7sW1QICZ8qsKlcv9OfYjohcMhA61g/edit#gid=1661307685=share"", ""PUBLICAT!A:K""),5,0)"),5)</f>
        <v>5</v>
      </c>
      <c r="G270" s="19"/>
      <c r="H270" s="84">
        <f t="shared" si="114"/>
        <v>0</v>
      </c>
      <c r="I270" s="47" t="s">
        <v>5</v>
      </c>
      <c r="J270" s="63" t="s">
        <v>387</v>
      </c>
    </row>
    <row r="271" spans="1:10" ht="15" customHeight="1" x14ac:dyDescent="0.3">
      <c r="A271" s="41">
        <f t="shared" si="110"/>
        <v>193</v>
      </c>
      <c r="B271" s="42">
        <v>9788327127105</v>
      </c>
      <c r="C271" s="51" t="s">
        <v>271</v>
      </c>
      <c r="D271" s="52">
        <v>49.9</v>
      </c>
      <c r="E271" s="12">
        <f t="shared" si="113"/>
        <v>32.44</v>
      </c>
      <c r="F271" s="3">
        <f ca="1">IFERROR(__xludf.DUMMYFUNCTION("VLOOKUP($B145,IMPORTRANGE(""https://docs.google.com/spreadsheets/d/12kJeOb3DLWWg8o7sW1QICZ8qsKlcv9OfYjohcMhA61g/edit#gid=1661307685=share"", ""PUBLICAT!A:K""),5,0)"),5)</f>
        <v>5</v>
      </c>
      <c r="G271" s="19"/>
      <c r="H271" s="84">
        <f t="shared" si="114"/>
        <v>0</v>
      </c>
      <c r="I271" s="47" t="s">
        <v>5</v>
      </c>
      <c r="J271" s="63" t="s">
        <v>388</v>
      </c>
    </row>
    <row r="272" spans="1:10" ht="15" customHeight="1" x14ac:dyDescent="0.3">
      <c r="A272" s="41">
        <f t="shared" si="110"/>
        <v>194</v>
      </c>
      <c r="B272" s="42">
        <v>9788327127396</v>
      </c>
      <c r="C272" s="51" t="s">
        <v>272</v>
      </c>
      <c r="D272" s="52">
        <v>49.9</v>
      </c>
      <c r="E272" s="12">
        <f t="shared" si="113"/>
        <v>32.44</v>
      </c>
      <c r="F272" s="3">
        <f ca="1">IFERROR(__xludf.DUMMYFUNCTION("VLOOKUP($B145,IMPORTRANGE(""https://docs.google.com/spreadsheets/d/12kJeOb3DLWWg8o7sW1QICZ8qsKlcv9OfYjohcMhA61g/edit#gid=1661307685=share"", ""PUBLICAT!A:K""),5,0)"),5)</f>
        <v>5</v>
      </c>
      <c r="G272" s="19"/>
      <c r="H272" s="84">
        <f t="shared" si="114"/>
        <v>0</v>
      </c>
      <c r="I272" s="47" t="s">
        <v>5</v>
      </c>
      <c r="J272" s="63" t="s">
        <v>389</v>
      </c>
    </row>
    <row r="273" spans="1:10" s="70" customFormat="1" ht="132.6" customHeight="1" x14ac:dyDescent="0.3">
      <c r="A273" s="69" t="s">
        <v>323</v>
      </c>
      <c r="B273" s="69" t="s">
        <v>323</v>
      </c>
      <c r="C273" s="69" t="s">
        <v>323</v>
      </c>
      <c r="D273" s="69" t="s">
        <v>323</v>
      </c>
      <c r="E273" s="69" t="s">
        <v>323</v>
      </c>
      <c r="F273" s="69" t="s">
        <v>323</v>
      </c>
      <c r="G273" s="69" t="s">
        <v>323</v>
      </c>
      <c r="H273" s="83" t="s">
        <v>323</v>
      </c>
      <c r="I273" s="69" t="s">
        <v>323</v>
      </c>
      <c r="J273" s="69" t="s">
        <v>323</v>
      </c>
    </row>
    <row r="274" spans="1:10" ht="28.2" customHeight="1" x14ac:dyDescent="0.3">
      <c r="A274" s="35" t="s">
        <v>0</v>
      </c>
      <c r="B274" s="35" t="s">
        <v>1</v>
      </c>
      <c r="C274" s="36" t="s">
        <v>2</v>
      </c>
      <c r="D274" s="37" t="s">
        <v>163</v>
      </c>
      <c r="E274" s="37" t="s">
        <v>164</v>
      </c>
      <c r="F274" s="38" t="s">
        <v>3</v>
      </c>
      <c r="G274" s="39" t="s">
        <v>165</v>
      </c>
      <c r="H274" s="17" t="s">
        <v>166</v>
      </c>
      <c r="I274" s="17" t="s">
        <v>180</v>
      </c>
      <c r="J274" s="40" t="s">
        <v>4</v>
      </c>
    </row>
    <row r="275" spans="1:10" ht="15" customHeight="1" x14ac:dyDescent="0.3">
      <c r="A275" s="41">
        <f>A272+1</f>
        <v>195</v>
      </c>
      <c r="B275" s="42">
        <v>9788327164230</v>
      </c>
      <c r="C275" s="51" t="s">
        <v>273</v>
      </c>
      <c r="D275" s="52">
        <v>49.9</v>
      </c>
      <c r="E275" s="12">
        <f t="shared" ref="E275:E321" si="115">ROUND(D275*0.65,2)</f>
        <v>32.44</v>
      </c>
      <c r="F275" s="3">
        <f ca="1">IFERROR(__xludf.DUMMYFUNCTION("VLOOKUP($B145,IMPORTRANGE(""https://docs.google.com/spreadsheets/d/12kJeOb3DLWWg8o7sW1QICZ8qsKlcv9OfYjohcMhA61g/edit#gid=1661307685=share"", ""PUBLICAT!A:K""),5,0)"),5)</f>
        <v>5</v>
      </c>
      <c r="G275" s="19"/>
      <c r="H275" s="84">
        <f t="shared" ref="H275:H321" si="116">G275*D275</f>
        <v>0</v>
      </c>
      <c r="I275" s="47" t="s">
        <v>5</v>
      </c>
      <c r="J275" s="63" t="s">
        <v>390</v>
      </c>
    </row>
    <row r="276" spans="1:10" ht="15" customHeight="1" x14ac:dyDescent="0.3">
      <c r="A276" s="41">
        <f t="shared" si="110"/>
        <v>196</v>
      </c>
      <c r="B276" s="42">
        <v>9788327163639</v>
      </c>
      <c r="C276" s="51" t="s">
        <v>274</v>
      </c>
      <c r="D276" s="52">
        <v>44.9</v>
      </c>
      <c r="E276" s="12">
        <f t="shared" si="115"/>
        <v>29.19</v>
      </c>
      <c r="F276" s="3">
        <f ca="1">IFERROR(__xludf.DUMMYFUNCTION("VLOOKUP($B145,IMPORTRANGE(""https://docs.google.com/spreadsheets/d/12kJeOb3DLWWg8o7sW1QICZ8qsKlcv9OfYjohcMhA61g/edit#gid=1661307685=share"", ""PUBLICAT!A:K""),5,0)"),5)</f>
        <v>5</v>
      </c>
      <c r="G276" s="19"/>
      <c r="H276" s="84">
        <f t="shared" si="116"/>
        <v>0</v>
      </c>
      <c r="I276" s="47" t="s">
        <v>5</v>
      </c>
      <c r="J276" s="63" t="s">
        <v>391</v>
      </c>
    </row>
    <row r="277" spans="1:10" ht="15" customHeight="1" x14ac:dyDescent="0.3">
      <c r="A277" s="41">
        <f t="shared" si="110"/>
        <v>197</v>
      </c>
      <c r="B277" s="42">
        <v>9788327163486</v>
      </c>
      <c r="C277" s="51" t="s">
        <v>275</v>
      </c>
      <c r="D277" s="52">
        <v>69.900000000000006</v>
      </c>
      <c r="E277" s="12">
        <f t="shared" si="115"/>
        <v>45.44</v>
      </c>
      <c r="F277" s="3">
        <f ca="1">IFERROR(__xludf.DUMMYFUNCTION("VLOOKUP($B145,IMPORTRANGE(""https://docs.google.com/spreadsheets/d/12kJeOb3DLWWg8o7sW1QICZ8qsKlcv9OfYjohcMhA61g/edit#gid=1661307685=share"", ""PUBLICAT!A:K""),5,0)"),5)</f>
        <v>5</v>
      </c>
      <c r="G277" s="19"/>
      <c r="H277" s="84">
        <f t="shared" si="116"/>
        <v>0</v>
      </c>
      <c r="I277" s="47" t="s">
        <v>5</v>
      </c>
      <c r="J277" s="63" t="s">
        <v>392</v>
      </c>
    </row>
    <row r="278" spans="1:10" ht="15" customHeight="1" x14ac:dyDescent="0.3">
      <c r="A278" s="41">
        <f t="shared" si="110"/>
        <v>198</v>
      </c>
      <c r="B278" s="42">
        <v>9788327164285</v>
      </c>
      <c r="C278" s="51" t="s">
        <v>276</v>
      </c>
      <c r="D278" s="52">
        <v>49.9</v>
      </c>
      <c r="E278" s="12">
        <f t="shared" si="115"/>
        <v>32.44</v>
      </c>
      <c r="F278" s="3">
        <f ca="1">IFERROR(__xludf.DUMMYFUNCTION("VLOOKUP($B145,IMPORTRANGE(""https://docs.google.com/spreadsheets/d/12kJeOb3DLWWg8o7sW1QICZ8qsKlcv9OfYjohcMhA61g/edit#gid=1661307685=share"", ""PUBLICAT!A:K""),5,0)"),5)</f>
        <v>5</v>
      </c>
      <c r="G278" s="19"/>
      <c r="H278" s="84">
        <f t="shared" si="116"/>
        <v>0</v>
      </c>
      <c r="I278" s="47" t="s">
        <v>5</v>
      </c>
      <c r="J278" s="63" t="s">
        <v>393</v>
      </c>
    </row>
    <row r="279" spans="1:10" ht="15" customHeight="1" x14ac:dyDescent="0.3">
      <c r="A279" s="41">
        <f t="shared" si="110"/>
        <v>199</v>
      </c>
      <c r="B279" s="42">
        <v>9788327165329</v>
      </c>
      <c r="C279" s="51" t="s">
        <v>277</v>
      </c>
      <c r="D279" s="52">
        <v>49.9</v>
      </c>
      <c r="E279" s="12">
        <f t="shared" si="115"/>
        <v>32.44</v>
      </c>
      <c r="F279" s="3">
        <f ca="1">IFERROR(__xludf.DUMMYFUNCTION("VLOOKUP($B145,IMPORTRANGE(""https://docs.google.com/spreadsheets/d/12kJeOb3DLWWg8o7sW1QICZ8qsKlcv9OfYjohcMhA61g/edit#gid=1661307685=share"", ""PUBLICAT!A:K""),5,0)"),5)</f>
        <v>5</v>
      </c>
      <c r="G279" s="19"/>
      <c r="H279" s="84">
        <f t="shared" si="116"/>
        <v>0</v>
      </c>
      <c r="I279" s="47" t="s">
        <v>5</v>
      </c>
      <c r="J279" s="63" t="s">
        <v>394</v>
      </c>
    </row>
    <row r="280" spans="1:10" ht="15" customHeight="1" x14ac:dyDescent="0.3">
      <c r="A280" s="41">
        <f t="shared" si="110"/>
        <v>200</v>
      </c>
      <c r="B280" s="42">
        <v>9788327164735</v>
      </c>
      <c r="C280" s="51" t="s">
        <v>278</v>
      </c>
      <c r="D280" s="52">
        <v>49.9</v>
      </c>
      <c r="E280" s="12">
        <f t="shared" si="115"/>
        <v>32.44</v>
      </c>
      <c r="F280" s="3">
        <f ca="1">IFERROR(__xludf.DUMMYFUNCTION("VLOOKUP($B145,IMPORTRANGE(""https://docs.google.com/spreadsheets/d/12kJeOb3DLWWg8o7sW1QICZ8qsKlcv9OfYjohcMhA61g/edit#gid=1661307685=share"", ""PUBLICAT!A:K""),5,0)"),5)</f>
        <v>5</v>
      </c>
      <c r="G280" s="19"/>
      <c r="H280" s="84">
        <f t="shared" si="116"/>
        <v>0</v>
      </c>
      <c r="I280" s="47" t="s">
        <v>5</v>
      </c>
      <c r="J280" s="63" t="s">
        <v>395</v>
      </c>
    </row>
    <row r="281" spans="1:10" ht="15" customHeight="1" x14ac:dyDescent="0.3">
      <c r="A281" s="41">
        <f t="shared" si="110"/>
        <v>201</v>
      </c>
      <c r="B281" s="42">
        <v>9788327163967</v>
      </c>
      <c r="C281" s="51" t="s">
        <v>279</v>
      </c>
      <c r="D281" s="52">
        <v>49.9</v>
      </c>
      <c r="E281" s="12">
        <f t="shared" si="115"/>
        <v>32.44</v>
      </c>
      <c r="F281" s="3">
        <f ca="1">IFERROR(__xludf.DUMMYFUNCTION("VLOOKUP($B145,IMPORTRANGE(""https://docs.google.com/spreadsheets/d/12kJeOb3DLWWg8o7sW1QICZ8qsKlcv9OfYjohcMhA61g/edit#gid=1661307685=share"", ""PUBLICAT!A:K""),5,0)"),5)</f>
        <v>5</v>
      </c>
      <c r="G281" s="19"/>
      <c r="H281" s="84">
        <f t="shared" si="116"/>
        <v>0</v>
      </c>
      <c r="I281" s="47" t="s">
        <v>5</v>
      </c>
      <c r="J281" s="63" t="s">
        <v>396</v>
      </c>
    </row>
    <row r="282" spans="1:10" ht="15" customHeight="1" x14ac:dyDescent="0.3">
      <c r="A282" s="41">
        <f t="shared" si="110"/>
        <v>202</v>
      </c>
      <c r="B282" s="42">
        <v>9788327166487</v>
      </c>
      <c r="C282" s="51" t="s">
        <v>280</v>
      </c>
      <c r="D282" s="52">
        <v>49.9</v>
      </c>
      <c r="E282" s="12">
        <f t="shared" si="115"/>
        <v>32.44</v>
      </c>
      <c r="F282" s="3">
        <f ca="1">IFERROR(__xludf.DUMMYFUNCTION("VLOOKUP($B145,IMPORTRANGE(""https://docs.google.com/spreadsheets/d/12kJeOb3DLWWg8o7sW1QICZ8qsKlcv9OfYjohcMhA61g/edit#gid=1661307685=share"", ""PUBLICAT!A:K""),5,0)"),5)</f>
        <v>5</v>
      </c>
      <c r="G282" s="19"/>
      <c r="H282" s="84">
        <f t="shared" si="116"/>
        <v>0</v>
      </c>
      <c r="I282" s="47" t="s">
        <v>5</v>
      </c>
      <c r="J282" s="63" t="s">
        <v>397</v>
      </c>
    </row>
    <row r="283" spans="1:10" ht="15" customHeight="1" x14ac:dyDescent="0.3">
      <c r="A283" s="41">
        <f t="shared" si="110"/>
        <v>203</v>
      </c>
      <c r="B283" s="42">
        <v>9788327165596</v>
      </c>
      <c r="C283" s="51" t="s">
        <v>281</v>
      </c>
      <c r="D283" s="52">
        <v>49.9</v>
      </c>
      <c r="E283" s="12">
        <f t="shared" si="115"/>
        <v>32.44</v>
      </c>
      <c r="F283" s="3">
        <f ca="1">IFERROR(__xludf.DUMMYFUNCTION("VLOOKUP($B145,IMPORTRANGE(""https://docs.google.com/spreadsheets/d/12kJeOb3DLWWg8o7sW1QICZ8qsKlcv9OfYjohcMhA61g/edit#gid=1661307685=share"", ""PUBLICAT!A:K""),5,0)"),5)</f>
        <v>5</v>
      </c>
      <c r="G283" s="19"/>
      <c r="H283" s="84">
        <f t="shared" si="116"/>
        <v>0</v>
      </c>
      <c r="I283" s="47" t="s">
        <v>5</v>
      </c>
      <c r="J283" s="63" t="s">
        <v>398</v>
      </c>
    </row>
    <row r="284" spans="1:10" ht="15" customHeight="1" x14ac:dyDescent="0.3">
      <c r="A284" s="41">
        <f t="shared" si="110"/>
        <v>204</v>
      </c>
      <c r="B284" s="42">
        <v>9788327164254</v>
      </c>
      <c r="C284" s="51" t="s">
        <v>282</v>
      </c>
      <c r="D284" s="52">
        <v>49.9</v>
      </c>
      <c r="E284" s="12">
        <f t="shared" si="115"/>
        <v>32.44</v>
      </c>
      <c r="F284" s="3">
        <f ca="1">IFERROR(__xludf.DUMMYFUNCTION("VLOOKUP($B145,IMPORTRANGE(""https://docs.google.com/spreadsheets/d/12kJeOb3DLWWg8o7sW1QICZ8qsKlcv9OfYjohcMhA61g/edit#gid=1661307685=share"", ""PUBLICAT!A:K""),5,0)"),5)</f>
        <v>5</v>
      </c>
      <c r="G284" s="19"/>
      <c r="H284" s="84">
        <f t="shared" si="116"/>
        <v>0</v>
      </c>
      <c r="I284" s="47" t="s">
        <v>5</v>
      </c>
      <c r="J284" s="63" t="s">
        <v>399</v>
      </c>
    </row>
    <row r="285" spans="1:10" ht="15" customHeight="1" x14ac:dyDescent="0.3">
      <c r="A285" s="41">
        <f t="shared" si="110"/>
        <v>205</v>
      </c>
      <c r="B285" s="42">
        <v>9788327165190</v>
      </c>
      <c r="C285" s="51" t="s">
        <v>283</v>
      </c>
      <c r="D285" s="52">
        <v>49.9</v>
      </c>
      <c r="E285" s="12">
        <f t="shared" si="115"/>
        <v>32.44</v>
      </c>
      <c r="F285" s="3">
        <f ca="1">IFERROR(__xludf.DUMMYFUNCTION("VLOOKUP($B145,IMPORTRANGE(""https://docs.google.com/spreadsheets/d/12kJeOb3DLWWg8o7sW1QICZ8qsKlcv9OfYjohcMhA61g/edit#gid=1661307685=share"", ""PUBLICAT!A:K""),5,0)"),5)</f>
        <v>5</v>
      </c>
      <c r="G285" s="19"/>
      <c r="H285" s="84">
        <f t="shared" si="116"/>
        <v>0</v>
      </c>
      <c r="I285" s="47" t="s">
        <v>5</v>
      </c>
      <c r="J285" s="63" t="s">
        <v>400</v>
      </c>
    </row>
    <row r="286" spans="1:10" ht="15" customHeight="1" x14ac:dyDescent="0.3">
      <c r="A286" s="41">
        <f t="shared" si="110"/>
        <v>206</v>
      </c>
      <c r="B286" s="42">
        <v>9788327166739</v>
      </c>
      <c r="C286" s="51" t="s">
        <v>284</v>
      </c>
      <c r="D286" s="52">
        <v>49.9</v>
      </c>
      <c r="E286" s="12">
        <f t="shared" si="115"/>
        <v>32.44</v>
      </c>
      <c r="F286" s="3">
        <f ca="1">IFERROR(__xludf.DUMMYFUNCTION("VLOOKUP($B145,IMPORTRANGE(""https://docs.google.com/spreadsheets/d/12kJeOb3DLWWg8o7sW1QICZ8qsKlcv9OfYjohcMhA61g/edit#gid=1661307685=share"", ""PUBLICAT!A:K""),5,0)"),5)</f>
        <v>5</v>
      </c>
      <c r="G286" s="19"/>
      <c r="H286" s="84">
        <f t="shared" si="116"/>
        <v>0</v>
      </c>
      <c r="I286" s="47" t="s">
        <v>5</v>
      </c>
      <c r="J286" s="63" t="s">
        <v>401</v>
      </c>
    </row>
    <row r="287" spans="1:10" ht="15" customHeight="1" x14ac:dyDescent="0.3">
      <c r="A287" s="41">
        <f t="shared" si="110"/>
        <v>207</v>
      </c>
      <c r="B287" s="42">
        <v>9788327165312</v>
      </c>
      <c r="C287" s="51" t="s">
        <v>285</v>
      </c>
      <c r="D287" s="52">
        <v>49.9</v>
      </c>
      <c r="E287" s="12">
        <f t="shared" si="115"/>
        <v>32.44</v>
      </c>
      <c r="F287" s="3">
        <f ca="1">IFERROR(__xludf.DUMMYFUNCTION("VLOOKUP($B145,IMPORTRANGE(""https://docs.google.com/spreadsheets/d/12kJeOb3DLWWg8o7sW1QICZ8qsKlcv9OfYjohcMhA61g/edit#gid=1661307685=share"", ""PUBLICAT!A:K""),5,0)"),5)</f>
        <v>5</v>
      </c>
      <c r="G287" s="19"/>
      <c r="H287" s="84">
        <f t="shared" si="116"/>
        <v>0</v>
      </c>
      <c r="I287" s="47" t="s">
        <v>5</v>
      </c>
      <c r="J287" s="63" t="s">
        <v>402</v>
      </c>
    </row>
    <row r="288" spans="1:10" ht="15" customHeight="1" x14ac:dyDescent="0.3">
      <c r="A288" s="41">
        <f t="shared" si="110"/>
        <v>208</v>
      </c>
      <c r="B288" s="42">
        <v>9788327164292</v>
      </c>
      <c r="C288" s="51" t="s">
        <v>286</v>
      </c>
      <c r="D288" s="52">
        <v>49.9</v>
      </c>
      <c r="E288" s="12">
        <f t="shared" si="115"/>
        <v>32.44</v>
      </c>
      <c r="F288" s="3">
        <f ca="1">IFERROR(__xludf.DUMMYFUNCTION("VLOOKUP($B145,IMPORTRANGE(""https://docs.google.com/spreadsheets/d/12kJeOb3DLWWg8o7sW1QICZ8qsKlcv9OfYjohcMhA61g/edit#gid=1661307685=share"", ""PUBLICAT!A:K""),5,0)"),5)</f>
        <v>5</v>
      </c>
      <c r="G288" s="19"/>
      <c r="H288" s="84">
        <f t="shared" si="116"/>
        <v>0</v>
      </c>
      <c r="I288" s="47" t="s">
        <v>5</v>
      </c>
      <c r="J288" s="63" t="s">
        <v>403</v>
      </c>
    </row>
    <row r="289" spans="1:10" ht="15" customHeight="1" x14ac:dyDescent="0.3">
      <c r="A289" s="41">
        <f t="shared" si="110"/>
        <v>209</v>
      </c>
      <c r="B289" s="42">
        <v>9788327166715</v>
      </c>
      <c r="C289" s="51" t="s">
        <v>287</v>
      </c>
      <c r="D289" s="52">
        <v>49.9</v>
      </c>
      <c r="E289" s="12">
        <f t="shared" si="115"/>
        <v>32.44</v>
      </c>
      <c r="F289" s="3">
        <f ca="1">IFERROR(__xludf.DUMMYFUNCTION("VLOOKUP($B145,IMPORTRANGE(""https://docs.google.com/spreadsheets/d/12kJeOb3DLWWg8o7sW1QICZ8qsKlcv9OfYjohcMhA61g/edit#gid=1661307685=share"", ""PUBLICAT!A:K""),5,0)"),5)</f>
        <v>5</v>
      </c>
      <c r="G289" s="19"/>
      <c r="H289" s="84">
        <f t="shared" si="116"/>
        <v>0</v>
      </c>
      <c r="I289" s="47" t="s">
        <v>5</v>
      </c>
      <c r="J289" s="63" t="s">
        <v>404</v>
      </c>
    </row>
    <row r="290" spans="1:10" ht="15" customHeight="1" x14ac:dyDescent="0.3">
      <c r="A290" s="41">
        <f t="shared" si="110"/>
        <v>210</v>
      </c>
      <c r="B290" s="42">
        <v>9788327164766</v>
      </c>
      <c r="C290" s="51" t="s">
        <v>288</v>
      </c>
      <c r="D290" s="52">
        <v>49.9</v>
      </c>
      <c r="E290" s="12">
        <f t="shared" si="115"/>
        <v>32.44</v>
      </c>
      <c r="F290" s="3">
        <f ca="1">IFERROR(__xludf.DUMMYFUNCTION("VLOOKUP($B145,IMPORTRANGE(""https://docs.google.com/spreadsheets/d/12kJeOb3DLWWg8o7sW1QICZ8qsKlcv9OfYjohcMhA61g/edit#gid=1661307685=share"", ""PUBLICAT!A:K""),5,0)"),5)</f>
        <v>5</v>
      </c>
      <c r="G290" s="19"/>
      <c r="H290" s="84">
        <f t="shared" si="116"/>
        <v>0</v>
      </c>
      <c r="I290" s="47" t="s">
        <v>5</v>
      </c>
      <c r="J290" s="63" t="s">
        <v>405</v>
      </c>
    </row>
    <row r="291" spans="1:10" ht="15" customHeight="1" x14ac:dyDescent="0.3">
      <c r="A291" s="41">
        <f t="shared" si="110"/>
        <v>211</v>
      </c>
      <c r="B291" s="42">
        <v>9788327165725</v>
      </c>
      <c r="C291" s="51" t="s">
        <v>289</v>
      </c>
      <c r="D291" s="52">
        <v>49.9</v>
      </c>
      <c r="E291" s="12">
        <f t="shared" si="115"/>
        <v>32.44</v>
      </c>
      <c r="F291" s="3">
        <f ca="1">IFERROR(__xludf.DUMMYFUNCTION("VLOOKUP($B145,IMPORTRANGE(""https://docs.google.com/spreadsheets/d/12kJeOb3DLWWg8o7sW1QICZ8qsKlcv9OfYjohcMhA61g/edit#gid=1661307685=share"", ""PUBLICAT!A:K""),5,0)"),5)</f>
        <v>5</v>
      </c>
      <c r="G291" s="19"/>
      <c r="H291" s="84">
        <f t="shared" si="116"/>
        <v>0</v>
      </c>
      <c r="I291" s="47" t="s">
        <v>5</v>
      </c>
      <c r="J291" s="63" t="s">
        <v>406</v>
      </c>
    </row>
    <row r="292" spans="1:10" ht="15" customHeight="1" x14ac:dyDescent="0.3">
      <c r="A292" s="41">
        <f t="shared" si="110"/>
        <v>212</v>
      </c>
      <c r="B292" s="42">
        <v>9788327164520</v>
      </c>
      <c r="C292" s="51" t="s">
        <v>290</v>
      </c>
      <c r="D292" s="52">
        <v>49.9</v>
      </c>
      <c r="E292" s="12">
        <f t="shared" si="115"/>
        <v>32.44</v>
      </c>
      <c r="F292" s="3">
        <f ca="1">IFERROR(__xludf.DUMMYFUNCTION("VLOOKUP($B145,IMPORTRANGE(""https://docs.google.com/spreadsheets/d/12kJeOb3DLWWg8o7sW1QICZ8qsKlcv9OfYjohcMhA61g/edit#gid=1661307685=share"", ""PUBLICAT!A:K""),5,0)"),5)</f>
        <v>5</v>
      </c>
      <c r="G292" s="19"/>
      <c r="H292" s="84">
        <f t="shared" si="116"/>
        <v>0</v>
      </c>
      <c r="I292" s="47" t="s">
        <v>5</v>
      </c>
      <c r="J292" s="63" t="s">
        <v>407</v>
      </c>
    </row>
    <row r="293" spans="1:10" ht="15" customHeight="1" x14ac:dyDescent="0.3">
      <c r="A293" s="41">
        <f t="shared" si="110"/>
        <v>213</v>
      </c>
      <c r="B293" s="42">
        <v>9788327165305</v>
      </c>
      <c r="C293" s="51" t="s">
        <v>291</v>
      </c>
      <c r="D293" s="52">
        <v>49.9</v>
      </c>
      <c r="E293" s="12">
        <f t="shared" si="115"/>
        <v>32.44</v>
      </c>
      <c r="F293" s="3">
        <f ca="1">IFERROR(__xludf.DUMMYFUNCTION("VLOOKUP($B145,IMPORTRANGE(""https://docs.google.com/spreadsheets/d/12kJeOb3DLWWg8o7sW1QICZ8qsKlcv9OfYjohcMhA61g/edit#gid=1661307685=share"", ""PUBLICAT!A:K""),5,0)"),5)</f>
        <v>5</v>
      </c>
      <c r="G293" s="19"/>
      <c r="H293" s="84">
        <f t="shared" si="116"/>
        <v>0</v>
      </c>
      <c r="I293" s="47" t="s">
        <v>5</v>
      </c>
      <c r="J293" s="63" t="s">
        <v>408</v>
      </c>
    </row>
    <row r="294" spans="1:10" ht="15" customHeight="1" x14ac:dyDescent="0.3">
      <c r="A294" s="41">
        <f t="shared" si="110"/>
        <v>214</v>
      </c>
      <c r="B294" s="42">
        <v>9788327165022</v>
      </c>
      <c r="C294" s="51" t="s">
        <v>292</v>
      </c>
      <c r="D294" s="52">
        <v>49.9</v>
      </c>
      <c r="E294" s="12">
        <f t="shared" si="115"/>
        <v>32.44</v>
      </c>
      <c r="F294" s="3">
        <f ca="1">IFERROR(__xludf.DUMMYFUNCTION("VLOOKUP($B145,IMPORTRANGE(""https://docs.google.com/spreadsheets/d/12kJeOb3DLWWg8o7sW1QICZ8qsKlcv9OfYjohcMhA61g/edit#gid=1661307685=share"", ""PUBLICAT!A:K""),5,0)"),5)</f>
        <v>5</v>
      </c>
      <c r="G294" s="19"/>
      <c r="H294" s="84">
        <f t="shared" si="116"/>
        <v>0</v>
      </c>
      <c r="I294" s="47" t="s">
        <v>5</v>
      </c>
      <c r="J294" s="63" t="s">
        <v>409</v>
      </c>
    </row>
    <row r="295" spans="1:10" ht="15" customHeight="1" x14ac:dyDescent="0.3">
      <c r="A295" s="41">
        <f t="shared" si="110"/>
        <v>215</v>
      </c>
      <c r="B295" s="42">
        <v>9788327165893</v>
      </c>
      <c r="C295" s="51" t="s">
        <v>293</v>
      </c>
      <c r="D295" s="52">
        <v>49.9</v>
      </c>
      <c r="E295" s="12">
        <f t="shared" si="115"/>
        <v>32.44</v>
      </c>
      <c r="F295" s="3">
        <f ca="1">IFERROR(__xludf.DUMMYFUNCTION("VLOOKUP($B145,IMPORTRANGE(""https://docs.google.com/spreadsheets/d/12kJeOb3DLWWg8o7sW1QICZ8qsKlcv9OfYjohcMhA61g/edit#gid=1661307685=share"", ""PUBLICAT!A:K""),5,0)"),5)</f>
        <v>5</v>
      </c>
      <c r="G295" s="19"/>
      <c r="H295" s="84">
        <f t="shared" si="116"/>
        <v>0</v>
      </c>
      <c r="I295" s="47" t="s">
        <v>5</v>
      </c>
      <c r="J295" s="63" t="s">
        <v>410</v>
      </c>
    </row>
    <row r="296" spans="1:10" ht="15" customHeight="1" x14ac:dyDescent="0.3">
      <c r="A296" s="41">
        <f t="shared" si="110"/>
        <v>216</v>
      </c>
      <c r="B296" s="42">
        <v>9788327167125</v>
      </c>
      <c r="C296" s="51" t="s">
        <v>294</v>
      </c>
      <c r="D296" s="52">
        <v>49.9</v>
      </c>
      <c r="E296" s="12">
        <f t="shared" si="115"/>
        <v>32.44</v>
      </c>
      <c r="F296" s="3">
        <f ca="1">IFERROR(__xludf.DUMMYFUNCTION("VLOOKUP($B145,IMPORTRANGE(""https://docs.google.com/spreadsheets/d/12kJeOb3DLWWg8o7sW1QICZ8qsKlcv9OfYjohcMhA61g/edit#gid=1661307685=share"", ""PUBLICAT!A:K""),5,0)"),5)</f>
        <v>5</v>
      </c>
      <c r="G296" s="19"/>
      <c r="H296" s="84">
        <f t="shared" si="116"/>
        <v>0</v>
      </c>
      <c r="I296" s="47" t="s">
        <v>5</v>
      </c>
      <c r="J296" s="63" t="s">
        <v>411</v>
      </c>
    </row>
    <row r="297" spans="1:10" ht="15" customHeight="1" x14ac:dyDescent="0.3">
      <c r="A297" s="41">
        <f t="shared" si="110"/>
        <v>217</v>
      </c>
      <c r="B297" s="42">
        <v>9788327167286</v>
      </c>
      <c r="C297" s="51" t="s">
        <v>295</v>
      </c>
      <c r="D297" s="52">
        <v>49.9</v>
      </c>
      <c r="E297" s="12">
        <f t="shared" si="115"/>
        <v>32.44</v>
      </c>
      <c r="F297" s="3">
        <f ca="1">IFERROR(__xludf.DUMMYFUNCTION("VLOOKUP($B145,IMPORTRANGE(""https://docs.google.com/spreadsheets/d/12kJeOb3DLWWg8o7sW1QICZ8qsKlcv9OfYjohcMhA61g/edit#gid=1661307685=share"", ""PUBLICAT!A:K""),5,0)"),5)</f>
        <v>5</v>
      </c>
      <c r="G297" s="19"/>
      <c r="H297" s="84">
        <f t="shared" si="116"/>
        <v>0</v>
      </c>
      <c r="I297" s="47" t="s">
        <v>5</v>
      </c>
      <c r="J297" s="63" t="s">
        <v>412</v>
      </c>
    </row>
    <row r="298" spans="1:10" ht="15" customHeight="1" x14ac:dyDescent="0.3">
      <c r="A298" s="41">
        <f t="shared" ref="A298:A344" si="117">A297+1</f>
        <v>218</v>
      </c>
      <c r="B298" s="42">
        <v>9788327165688</v>
      </c>
      <c r="C298" s="51" t="s">
        <v>296</v>
      </c>
      <c r="D298" s="52">
        <v>49.9</v>
      </c>
      <c r="E298" s="12">
        <f t="shared" si="115"/>
        <v>32.44</v>
      </c>
      <c r="F298" s="3">
        <f ca="1">IFERROR(__xludf.DUMMYFUNCTION("VLOOKUP($B145,IMPORTRANGE(""https://docs.google.com/spreadsheets/d/12kJeOb3DLWWg8o7sW1QICZ8qsKlcv9OfYjohcMhA61g/edit#gid=1661307685=share"", ""PUBLICAT!A:K""),5,0)"),5)</f>
        <v>5</v>
      </c>
      <c r="G298" s="19"/>
      <c r="H298" s="84">
        <f t="shared" si="116"/>
        <v>0</v>
      </c>
      <c r="I298" s="47" t="s">
        <v>5</v>
      </c>
      <c r="J298" s="63" t="s">
        <v>413</v>
      </c>
    </row>
    <row r="299" spans="1:10" ht="15" customHeight="1" x14ac:dyDescent="0.3">
      <c r="A299" s="41">
        <f t="shared" si="117"/>
        <v>219</v>
      </c>
      <c r="B299" s="42">
        <v>9788327163066</v>
      </c>
      <c r="C299" s="51" t="s">
        <v>297</v>
      </c>
      <c r="D299" s="52">
        <v>44.9</v>
      </c>
      <c r="E299" s="12">
        <f t="shared" si="115"/>
        <v>29.19</v>
      </c>
      <c r="F299" s="3">
        <f ca="1">IFERROR(__xludf.DUMMYFUNCTION("VLOOKUP($B145,IMPORTRANGE(""https://docs.google.com/spreadsheets/d/12kJeOb3DLWWg8o7sW1QICZ8qsKlcv9OfYjohcMhA61g/edit#gid=1661307685=share"", ""PUBLICAT!A:K""),5,0)"),5)</f>
        <v>5</v>
      </c>
      <c r="G299" s="19"/>
      <c r="H299" s="84">
        <f t="shared" si="116"/>
        <v>0</v>
      </c>
      <c r="I299" s="47" t="s">
        <v>5</v>
      </c>
      <c r="J299" s="63" t="s">
        <v>414</v>
      </c>
    </row>
    <row r="300" spans="1:10" ht="15" customHeight="1" x14ac:dyDescent="0.3">
      <c r="A300" s="41">
        <f t="shared" si="117"/>
        <v>220</v>
      </c>
      <c r="B300" s="42">
        <v>9788327165268</v>
      </c>
      <c r="C300" s="51" t="s">
        <v>298</v>
      </c>
      <c r="D300" s="52">
        <v>49.9</v>
      </c>
      <c r="E300" s="12">
        <f t="shared" si="115"/>
        <v>32.44</v>
      </c>
      <c r="F300" s="3">
        <f ca="1">IFERROR(__xludf.DUMMYFUNCTION("VLOOKUP($B145,IMPORTRANGE(""https://docs.google.com/spreadsheets/d/12kJeOb3DLWWg8o7sW1QICZ8qsKlcv9OfYjohcMhA61g/edit#gid=1661307685=share"", ""PUBLICAT!A:K""),5,0)"),5)</f>
        <v>5</v>
      </c>
      <c r="G300" s="19"/>
      <c r="H300" s="84">
        <f t="shared" si="116"/>
        <v>0</v>
      </c>
      <c r="I300" s="47" t="s">
        <v>5</v>
      </c>
      <c r="J300" s="63" t="s">
        <v>415</v>
      </c>
    </row>
    <row r="301" spans="1:10" ht="15" customHeight="1" x14ac:dyDescent="0.3">
      <c r="A301" s="41">
        <f t="shared" si="117"/>
        <v>221</v>
      </c>
      <c r="B301" s="42">
        <v>9788327167538</v>
      </c>
      <c r="C301" s="51" t="s">
        <v>299</v>
      </c>
      <c r="D301" s="52">
        <v>49.9</v>
      </c>
      <c r="E301" s="12">
        <f t="shared" si="115"/>
        <v>32.44</v>
      </c>
      <c r="F301" s="3">
        <f ca="1">IFERROR(__xludf.DUMMYFUNCTION("VLOOKUP($B145,IMPORTRANGE(""https://docs.google.com/spreadsheets/d/12kJeOb3DLWWg8o7sW1QICZ8qsKlcv9OfYjohcMhA61g/edit#gid=1661307685=share"", ""PUBLICAT!A:K""),5,0)"),5)</f>
        <v>5</v>
      </c>
      <c r="G301" s="19"/>
      <c r="H301" s="84">
        <f t="shared" si="116"/>
        <v>0</v>
      </c>
      <c r="I301" s="47" t="s">
        <v>5</v>
      </c>
      <c r="J301" s="63" t="s">
        <v>416</v>
      </c>
    </row>
    <row r="302" spans="1:10" ht="15" customHeight="1" x14ac:dyDescent="0.3">
      <c r="A302" s="41">
        <f t="shared" si="117"/>
        <v>222</v>
      </c>
      <c r="B302" s="42">
        <v>9788327167316</v>
      </c>
      <c r="C302" s="51" t="s">
        <v>300</v>
      </c>
      <c r="D302" s="52">
        <v>49.9</v>
      </c>
      <c r="E302" s="12">
        <f t="shared" si="115"/>
        <v>32.44</v>
      </c>
      <c r="F302" s="3">
        <f ca="1">IFERROR(__xludf.DUMMYFUNCTION("VLOOKUP($B145,IMPORTRANGE(""https://docs.google.com/spreadsheets/d/12kJeOb3DLWWg8o7sW1QICZ8qsKlcv9OfYjohcMhA61g/edit#gid=1661307685=share"", ""PUBLICAT!A:K""),5,0)"),5)</f>
        <v>5</v>
      </c>
      <c r="G302" s="19"/>
      <c r="H302" s="84">
        <f t="shared" si="116"/>
        <v>0</v>
      </c>
      <c r="I302" s="47" t="s">
        <v>5</v>
      </c>
      <c r="J302" s="63" t="s">
        <v>417</v>
      </c>
    </row>
    <row r="303" spans="1:10" ht="15" customHeight="1" x14ac:dyDescent="0.3">
      <c r="A303" s="41">
        <f t="shared" si="117"/>
        <v>223</v>
      </c>
      <c r="B303" s="42">
        <v>9788327166265</v>
      </c>
      <c r="C303" s="51" t="s">
        <v>301</v>
      </c>
      <c r="D303" s="52">
        <v>49.9</v>
      </c>
      <c r="E303" s="12">
        <f t="shared" si="115"/>
        <v>32.44</v>
      </c>
      <c r="F303" s="3">
        <f ca="1">IFERROR(__xludf.DUMMYFUNCTION("VLOOKUP($B145,IMPORTRANGE(""https://docs.google.com/spreadsheets/d/12kJeOb3DLWWg8o7sW1QICZ8qsKlcv9OfYjohcMhA61g/edit#gid=1661307685=share"", ""PUBLICAT!A:K""),5,0)"),5)</f>
        <v>5</v>
      </c>
      <c r="G303" s="19"/>
      <c r="H303" s="84">
        <f t="shared" si="116"/>
        <v>0</v>
      </c>
      <c r="I303" s="47" t="s">
        <v>5</v>
      </c>
      <c r="J303" s="63" t="s">
        <v>418</v>
      </c>
    </row>
    <row r="304" spans="1:10" ht="15" customHeight="1" x14ac:dyDescent="0.3">
      <c r="A304" s="41">
        <f t="shared" si="117"/>
        <v>224</v>
      </c>
      <c r="B304" s="42">
        <v>9788327167798</v>
      </c>
      <c r="C304" s="51" t="s">
        <v>302</v>
      </c>
      <c r="D304" s="52">
        <v>49.9</v>
      </c>
      <c r="E304" s="12">
        <f t="shared" si="115"/>
        <v>32.44</v>
      </c>
      <c r="F304" s="3">
        <f ca="1">IFERROR(__xludf.DUMMYFUNCTION("VLOOKUP($B145,IMPORTRANGE(""https://docs.google.com/spreadsheets/d/12kJeOb3DLWWg8o7sW1QICZ8qsKlcv9OfYjohcMhA61g/edit#gid=1661307685=share"", ""PUBLICAT!A:K""),5,0)"),5)</f>
        <v>5</v>
      </c>
      <c r="G304" s="19"/>
      <c r="H304" s="84">
        <f t="shared" si="116"/>
        <v>0</v>
      </c>
      <c r="I304" s="47" t="s">
        <v>5</v>
      </c>
      <c r="J304" s="63" t="s">
        <v>419</v>
      </c>
    </row>
    <row r="305" spans="1:10" ht="15" customHeight="1" x14ac:dyDescent="0.3">
      <c r="A305" s="41">
        <f t="shared" si="117"/>
        <v>225</v>
      </c>
      <c r="B305" s="42">
        <v>9788327166722</v>
      </c>
      <c r="C305" s="51" t="s">
        <v>303</v>
      </c>
      <c r="D305" s="52">
        <v>49.9</v>
      </c>
      <c r="E305" s="12">
        <f t="shared" si="115"/>
        <v>32.44</v>
      </c>
      <c r="F305" s="3">
        <f ca="1">IFERROR(__xludf.DUMMYFUNCTION("VLOOKUP($B145,IMPORTRANGE(""https://docs.google.com/spreadsheets/d/12kJeOb3DLWWg8o7sW1QICZ8qsKlcv9OfYjohcMhA61g/edit#gid=1661307685=share"", ""PUBLICAT!A:K""),5,0)"),5)</f>
        <v>5</v>
      </c>
      <c r="G305" s="19"/>
      <c r="H305" s="84">
        <f t="shared" si="116"/>
        <v>0</v>
      </c>
      <c r="I305" s="47" t="s">
        <v>5</v>
      </c>
      <c r="J305" s="63" t="s">
        <v>420</v>
      </c>
    </row>
    <row r="306" spans="1:10" ht="15" customHeight="1" x14ac:dyDescent="0.3">
      <c r="A306" s="41">
        <f t="shared" si="117"/>
        <v>226</v>
      </c>
      <c r="B306" s="42">
        <v>9788327164278</v>
      </c>
      <c r="C306" s="51" t="s">
        <v>304</v>
      </c>
      <c r="D306" s="52">
        <v>49.9</v>
      </c>
      <c r="E306" s="12">
        <f t="shared" si="115"/>
        <v>32.44</v>
      </c>
      <c r="F306" s="3">
        <f ca="1">IFERROR(__xludf.DUMMYFUNCTION("VLOOKUP($B145,IMPORTRANGE(""https://docs.google.com/spreadsheets/d/12kJeOb3DLWWg8o7sW1QICZ8qsKlcv9OfYjohcMhA61g/edit#gid=1661307685=share"", ""PUBLICAT!A:K""),5,0)"),5)</f>
        <v>5</v>
      </c>
      <c r="G306" s="19"/>
      <c r="H306" s="84">
        <f t="shared" si="116"/>
        <v>0</v>
      </c>
      <c r="I306" s="47" t="s">
        <v>5</v>
      </c>
      <c r="J306" s="63" t="s">
        <v>421</v>
      </c>
    </row>
    <row r="307" spans="1:10" ht="15" customHeight="1" x14ac:dyDescent="0.3">
      <c r="A307" s="41">
        <f t="shared" si="117"/>
        <v>227</v>
      </c>
      <c r="B307" s="42">
        <v>9788327164575</v>
      </c>
      <c r="C307" s="51" t="s">
        <v>305</v>
      </c>
      <c r="D307" s="52">
        <v>49.9</v>
      </c>
      <c r="E307" s="12">
        <f t="shared" si="115"/>
        <v>32.44</v>
      </c>
      <c r="F307" s="3">
        <f ca="1">IFERROR(__xludf.DUMMYFUNCTION("VLOOKUP($B145,IMPORTRANGE(""https://docs.google.com/spreadsheets/d/12kJeOb3DLWWg8o7sW1QICZ8qsKlcv9OfYjohcMhA61g/edit#gid=1661307685=share"", ""PUBLICAT!A:K""),5,0)"),5)</f>
        <v>5</v>
      </c>
      <c r="G307" s="19"/>
      <c r="H307" s="84">
        <f t="shared" si="116"/>
        <v>0</v>
      </c>
      <c r="I307" s="47" t="s">
        <v>5</v>
      </c>
      <c r="J307" s="63" t="s">
        <v>422</v>
      </c>
    </row>
    <row r="308" spans="1:10" ht="15" customHeight="1" x14ac:dyDescent="0.3">
      <c r="A308" s="41">
        <f t="shared" si="117"/>
        <v>228</v>
      </c>
      <c r="B308" s="42">
        <v>9788327166272</v>
      </c>
      <c r="C308" s="51" t="s">
        <v>306</v>
      </c>
      <c r="D308" s="52">
        <v>49.9</v>
      </c>
      <c r="E308" s="12">
        <f t="shared" si="115"/>
        <v>32.44</v>
      </c>
      <c r="F308" s="3">
        <f ca="1">IFERROR(__xludf.DUMMYFUNCTION("VLOOKUP($B145,IMPORTRANGE(""https://docs.google.com/spreadsheets/d/12kJeOb3DLWWg8o7sW1QICZ8qsKlcv9OfYjohcMhA61g/edit#gid=1661307685=share"", ""PUBLICAT!A:K""),5,0)"),5)</f>
        <v>5</v>
      </c>
      <c r="G308" s="19"/>
      <c r="H308" s="84">
        <f t="shared" si="116"/>
        <v>0</v>
      </c>
      <c r="I308" s="47" t="s">
        <v>5</v>
      </c>
      <c r="J308" s="63" t="s">
        <v>423</v>
      </c>
    </row>
    <row r="309" spans="1:10" ht="15" customHeight="1" x14ac:dyDescent="0.3">
      <c r="A309" s="41">
        <f t="shared" si="117"/>
        <v>229</v>
      </c>
      <c r="B309" s="42">
        <v>9788327166241</v>
      </c>
      <c r="C309" s="51" t="s">
        <v>307</v>
      </c>
      <c r="D309" s="52">
        <v>49.9</v>
      </c>
      <c r="E309" s="12">
        <f t="shared" si="115"/>
        <v>32.44</v>
      </c>
      <c r="F309" s="3">
        <f ca="1">IFERROR(__xludf.DUMMYFUNCTION("VLOOKUP($B145,IMPORTRANGE(""https://docs.google.com/spreadsheets/d/12kJeOb3DLWWg8o7sW1QICZ8qsKlcv9OfYjohcMhA61g/edit#gid=1661307685=share"", ""PUBLICAT!A:K""),5,0)"),5)</f>
        <v>5</v>
      </c>
      <c r="G309" s="19"/>
      <c r="H309" s="84">
        <f t="shared" si="116"/>
        <v>0</v>
      </c>
      <c r="I309" s="47" t="s">
        <v>5</v>
      </c>
      <c r="J309" s="63" t="s">
        <v>424</v>
      </c>
    </row>
    <row r="310" spans="1:10" ht="15" customHeight="1" x14ac:dyDescent="0.3">
      <c r="A310" s="41">
        <f t="shared" si="117"/>
        <v>230</v>
      </c>
      <c r="B310" s="42">
        <v>9788327166616</v>
      </c>
      <c r="C310" s="51" t="s">
        <v>308</v>
      </c>
      <c r="D310" s="52">
        <v>49.9</v>
      </c>
      <c r="E310" s="12">
        <f t="shared" si="115"/>
        <v>32.44</v>
      </c>
      <c r="F310" s="3">
        <f ca="1">IFERROR(__xludf.DUMMYFUNCTION("VLOOKUP($B145,IMPORTRANGE(""https://docs.google.com/spreadsheets/d/12kJeOb3DLWWg8o7sW1QICZ8qsKlcv9OfYjohcMhA61g/edit#gid=1661307685=share"", ""PUBLICAT!A:K""),5,0)"),5)</f>
        <v>5</v>
      </c>
      <c r="G310" s="19"/>
      <c r="H310" s="84">
        <f t="shared" si="116"/>
        <v>0</v>
      </c>
      <c r="I310" s="47" t="s">
        <v>5</v>
      </c>
      <c r="J310" s="63" t="s">
        <v>425</v>
      </c>
    </row>
    <row r="311" spans="1:10" ht="15" customHeight="1" x14ac:dyDescent="0.3">
      <c r="A311" s="41">
        <f t="shared" si="117"/>
        <v>231</v>
      </c>
      <c r="B311" s="42">
        <v>9788327167101</v>
      </c>
      <c r="C311" s="51" t="s">
        <v>309</v>
      </c>
      <c r="D311" s="52">
        <v>49.9</v>
      </c>
      <c r="E311" s="12">
        <f t="shared" si="115"/>
        <v>32.44</v>
      </c>
      <c r="F311" s="3">
        <f ca="1">IFERROR(__xludf.DUMMYFUNCTION("VLOOKUP($B145,IMPORTRANGE(""https://docs.google.com/spreadsheets/d/12kJeOb3DLWWg8o7sW1QICZ8qsKlcv9OfYjohcMhA61g/edit#gid=1661307685=share"", ""PUBLICAT!A:K""),5,0)"),5)</f>
        <v>5</v>
      </c>
      <c r="G311" s="19"/>
      <c r="H311" s="84">
        <f t="shared" si="116"/>
        <v>0</v>
      </c>
      <c r="I311" s="47" t="s">
        <v>5</v>
      </c>
      <c r="J311" s="63" t="s">
        <v>426</v>
      </c>
    </row>
    <row r="312" spans="1:10" ht="15" customHeight="1" x14ac:dyDescent="0.3">
      <c r="A312" s="41">
        <f t="shared" si="117"/>
        <v>232</v>
      </c>
      <c r="B312" s="42">
        <v>9788327164261</v>
      </c>
      <c r="C312" s="51" t="s">
        <v>310</v>
      </c>
      <c r="D312" s="52">
        <v>49.9</v>
      </c>
      <c r="E312" s="12">
        <f t="shared" si="115"/>
        <v>32.44</v>
      </c>
      <c r="F312" s="3">
        <f ca="1">IFERROR(__xludf.DUMMYFUNCTION("VLOOKUP($B145,IMPORTRANGE(""https://docs.google.com/spreadsheets/d/12kJeOb3DLWWg8o7sW1QICZ8qsKlcv9OfYjohcMhA61g/edit#gid=1661307685=share"", ""PUBLICAT!A:K""),5,0)"),5)</f>
        <v>5</v>
      </c>
      <c r="G312" s="19"/>
      <c r="H312" s="84">
        <f t="shared" si="116"/>
        <v>0</v>
      </c>
      <c r="I312" s="47" t="s">
        <v>5</v>
      </c>
      <c r="J312" s="63" t="s">
        <v>427</v>
      </c>
    </row>
    <row r="313" spans="1:10" ht="15" customHeight="1" x14ac:dyDescent="0.3">
      <c r="A313" s="41">
        <f t="shared" si="117"/>
        <v>233</v>
      </c>
      <c r="B313" s="42">
        <v>9788327166258</v>
      </c>
      <c r="C313" s="51" t="s">
        <v>311</v>
      </c>
      <c r="D313" s="52">
        <v>49.9</v>
      </c>
      <c r="E313" s="12">
        <f t="shared" si="115"/>
        <v>32.44</v>
      </c>
      <c r="F313" s="3">
        <f ca="1">IFERROR(__xludf.DUMMYFUNCTION("VLOOKUP($B145,IMPORTRANGE(""https://docs.google.com/spreadsheets/d/12kJeOb3DLWWg8o7sW1QICZ8qsKlcv9OfYjohcMhA61g/edit#gid=1661307685=share"", ""PUBLICAT!A:K""),5,0)"),5)</f>
        <v>5</v>
      </c>
      <c r="G313" s="19"/>
      <c r="H313" s="84">
        <f t="shared" si="116"/>
        <v>0</v>
      </c>
      <c r="I313" s="47" t="s">
        <v>5</v>
      </c>
      <c r="J313" s="63" t="s">
        <v>428</v>
      </c>
    </row>
    <row r="314" spans="1:10" ht="15" customHeight="1" x14ac:dyDescent="0.3">
      <c r="A314" s="41">
        <f t="shared" si="117"/>
        <v>234</v>
      </c>
      <c r="B314" s="42">
        <v>9788327163127</v>
      </c>
      <c r="C314" s="51" t="s">
        <v>312</v>
      </c>
      <c r="D314" s="52">
        <v>44.9</v>
      </c>
      <c r="E314" s="12">
        <f t="shared" si="115"/>
        <v>29.19</v>
      </c>
      <c r="F314" s="3">
        <f ca="1">IFERROR(__xludf.DUMMYFUNCTION("VLOOKUP($B145,IMPORTRANGE(""https://docs.google.com/spreadsheets/d/12kJeOb3DLWWg8o7sW1QICZ8qsKlcv9OfYjohcMhA61g/edit#gid=1661307685=share"", ""PUBLICAT!A:K""),5,0)"),5)</f>
        <v>5</v>
      </c>
      <c r="G314" s="19"/>
      <c r="H314" s="84">
        <f t="shared" si="116"/>
        <v>0</v>
      </c>
      <c r="I314" s="47" t="s">
        <v>5</v>
      </c>
      <c r="J314" s="63" t="s">
        <v>429</v>
      </c>
    </row>
    <row r="315" spans="1:10" ht="15" customHeight="1" x14ac:dyDescent="0.3">
      <c r="A315" s="41">
        <f t="shared" si="117"/>
        <v>235</v>
      </c>
      <c r="B315" s="42">
        <v>9788327163684</v>
      </c>
      <c r="C315" s="51" t="s">
        <v>313</v>
      </c>
      <c r="D315" s="52">
        <v>44.9</v>
      </c>
      <c r="E315" s="12">
        <f t="shared" si="115"/>
        <v>29.19</v>
      </c>
      <c r="F315" s="3">
        <f ca="1">IFERROR(__xludf.DUMMYFUNCTION("VLOOKUP($B145,IMPORTRANGE(""https://docs.google.com/spreadsheets/d/12kJeOb3DLWWg8o7sW1QICZ8qsKlcv9OfYjohcMhA61g/edit#gid=1661307685=share"", ""PUBLICAT!A:K""),5,0)"),5)</f>
        <v>5</v>
      </c>
      <c r="G315" s="19"/>
      <c r="H315" s="84">
        <f t="shared" si="116"/>
        <v>0</v>
      </c>
      <c r="I315" s="47" t="s">
        <v>5</v>
      </c>
      <c r="J315" s="63" t="s">
        <v>430</v>
      </c>
    </row>
    <row r="316" spans="1:10" ht="15" customHeight="1" x14ac:dyDescent="0.3">
      <c r="A316" s="41">
        <f t="shared" si="117"/>
        <v>236</v>
      </c>
      <c r="B316" s="42">
        <v>9788327163134</v>
      </c>
      <c r="C316" s="51" t="s">
        <v>314</v>
      </c>
      <c r="D316" s="52">
        <v>44.9</v>
      </c>
      <c r="E316" s="12">
        <f t="shared" si="115"/>
        <v>29.19</v>
      </c>
      <c r="F316" s="3">
        <f ca="1">IFERROR(__xludf.DUMMYFUNCTION("VLOOKUP($B145,IMPORTRANGE(""https://docs.google.com/spreadsheets/d/12kJeOb3DLWWg8o7sW1QICZ8qsKlcv9OfYjohcMhA61g/edit#gid=1661307685=share"", ""PUBLICAT!A:K""),5,0)"),5)</f>
        <v>5</v>
      </c>
      <c r="G316" s="19"/>
      <c r="H316" s="84">
        <f t="shared" si="116"/>
        <v>0</v>
      </c>
      <c r="I316" s="47" t="s">
        <v>5</v>
      </c>
      <c r="J316" s="63" t="s">
        <v>431</v>
      </c>
    </row>
    <row r="317" spans="1:10" ht="15" customHeight="1" x14ac:dyDescent="0.3">
      <c r="A317" s="41">
        <f t="shared" si="117"/>
        <v>237</v>
      </c>
      <c r="B317" s="42">
        <v>9788327164742</v>
      </c>
      <c r="C317" s="51" t="s">
        <v>315</v>
      </c>
      <c r="D317" s="52">
        <v>49.9</v>
      </c>
      <c r="E317" s="12">
        <f t="shared" si="115"/>
        <v>32.44</v>
      </c>
      <c r="F317" s="3">
        <f ca="1">IFERROR(__xludf.DUMMYFUNCTION("VLOOKUP($B145,IMPORTRANGE(""https://docs.google.com/spreadsheets/d/12kJeOb3DLWWg8o7sW1QICZ8qsKlcv9OfYjohcMhA61g/edit#gid=1661307685=share"", ""PUBLICAT!A:K""),5,0)"),5)</f>
        <v>5</v>
      </c>
      <c r="G317" s="19"/>
      <c r="H317" s="84">
        <f t="shared" si="116"/>
        <v>0</v>
      </c>
      <c r="I317" s="47" t="s">
        <v>5</v>
      </c>
      <c r="J317" s="63" t="s">
        <v>432</v>
      </c>
    </row>
    <row r="318" spans="1:10" ht="15" customHeight="1" x14ac:dyDescent="0.3">
      <c r="A318" s="53">
        <f t="shared" si="117"/>
        <v>238</v>
      </c>
      <c r="B318" s="109">
        <v>9788327165183</v>
      </c>
      <c r="C318" s="110" t="s">
        <v>316</v>
      </c>
      <c r="D318" s="59">
        <v>49.9</v>
      </c>
      <c r="E318" s="12">
        <f t="shared" si="115"/>
        <v>32.44</v>
      </c>
      <c r="F318" s="24">
        <f ca="1">IFERROR(__xludf.DUMMYFUNCTION("VLOOKUP($B145,IMPORTRANGE(""https://docs.google.com/spreadsheets/d/12kJeOb3DLWWg8o7sW1QICZ8qsKlcv9OfYjohcMhA61g/edit#gid=1661307685=share"", ""PUBLICAT!A:K""),5,0)"),5)</f>
        <v>5</v>
      </c>
      <c r="G318" s="25"/>
      <c r="H318" s="84">
        <f t="shared" si="116"/>
        <v>0</v>
      </c>
      <c r="I318" s="50" t="s">
        <v>5</v>
      </c>
      <c r="J318" s="63" t="s">
        <v>433</v>
      </c>
    </row>
    <row r="319" spans="1:10" ht="15" customHeight="1" x14ac:dyDescent="0.3">
      <c r="A319" s="41">
        <f t="shared" si="117"/>
        <v>239</v>
      </c>
      <c r="B319" s="42">
        <v>9788327163141</v>
      </c>
      <c r="C319" s="51" t="s">
        <v>317</v>
      </c>
      <c r="D319" s="52">
        <v>44.9</v>
      </c>
      <c r="E319" s="12">
        <f t="shared" si="115"/>
        <v>29.19</v>
      </c>
      <c r="F319" s="45">
        <f ca="1">IFERROR(__xludf.DUMMYFUNCTION("VLOOKUP($B145,IMPORTRANGE(""https://docs.google.com/spreadsheets/d/12kJeOb3DLWWg8o7sW1QICZ8qsKlcv9OfYjohcMhA61g/edit#gid=1661307685=share"", ""PUBLICAT!A:K""),5,0)"),5)</f>
        <v>5</v>
      </c>
      <c r="G319" s="46"/>
      <c r="H319" s="84">
        <f t="shared" si="116"/>
        <v>0</v>
      </c>
      <c r="I319" s="47" t="s">
        <v>5</v>
      </c>
      <c r="J319" s="63" t="s">
        <v>434</v>
      </c>
    </row>
    <row r="320" spans="1:10" ht="15" customHeight="1" x14ac:dyDescent="0.3">
      <c r="A320" s="41">
        <f t="shared" si="117"/>
        <v>240</v>
      </c>
      <c r="B320" s="42">
        <v>9788327166494</v>
      </c>
      <c r="C320" s="51" t="s">
        <v>318</v>
      </c>
      <c r="D320" s="52">
        <v>49.9</v>
      </c>
      <c r="E320" s="12">
        <f t="shared" si="115"/>
        <v>32.44</v>
      </c>
      <c r="F320" s="45">
        <f ca="1">IFERROR(__xludf.DUMMYFUNCTION("VLOOKUP($B145,IMPORTRANGE(""https://docs.google.com/spreadsheets/d/12kJeOb3DLWWg8o7sW1QICZ8qsKlcv9OfYjohcMhA61g/edit#gid=1661307685=share"", ""PUBLICAT!A:K""),5,0)"),5)</f>
        <v>5</v>
      </c>
      <c r="G320" s="46"/>
      <c r="H320" s="84">
        <f t="shared" si="116"/>
        <v>0</v>
      </c>
      <c r="I320" s="47" t="s">
        <v>5</v>
      </c>
      <c r="J320" s="63" t="s">
        <v>435</v>
      </c>
    </row>
    <row r="321" spans="1:10" ht="15" customHeight="1" x14ac:dyDescent="0.3">
      <c r="A321" s="41">
        <f t="shared" si="117"/>
        <v>241</v>
      </c>
      <c r="B321" s="42">
        <v>9788327164247</v>
      </c>
      <c r="C321" s="51" t="s">
        <v>319</v>
      </c>
      <c r="D321" s="52">
        <v>49.9</v>
      </c>
      <c r="E321" s="12">
        <f t="shared" si="115"/>
        <v>32.44</v>
      </c>
      <c r="F321" s="45">
        <f ca="1">IFERROR(__xludf.DUMMYFUNCTION("VLOOKUP($B145,IMPORTRANGE(""https://docs.google.com/spreadsheets/d/12kJeOb3DLWWg8o7sW1QICZ8qsKlcv9OfYjohcMhA61g/edit#gid=1661307685=share"", ""PUBLICAT!A:K""),5,0)"),5)</f>
        <v>5</v>
      </c>
      <c r="G321" s="46"/>
      <c r="H321" s="84">
        <f t="shared" si="116"/>
        <v>0</v>
      </c>
      <c r="I321" s="47" t="s">
        <v>5</v>
      </c>
      <c r="J321" s="63" t="s">
        <v>436</v>
      </c>
    </row>
    <row r="322" spans="1:10" ht="28.8" customHeight="1" x14ac:dyDescent="0.3">
      <c r="A322" s="77"/>
      <c r="B322" s="78"/>
      <c r="C322" s="78"/>
      <c r="D322" s="65" t="s">
        <v>320</v>
      </c>
      <c r="E322" s="78"/>
      <c r="F322" s="78"/>
      <c r="G322" s="78"/>
      <c r="H322" s="85"/>
      <c r="I322" s="78"/>
      <c r="J322" s="79"/>
    </row>
    <row r="323" spans="1:10" ht="28.2" customHeight="1" x14ac:dyDescent="0.3">
      <c r="A323" s="35" t="s">
        <v>0</v>
      </c>
      <c r="B323" s="35" t="s">
        <v>1</v>
      </c>
      <c r="C323" s="36" t="s">
        <v>2</v>
      </c>
      <c r="D323" s="37" t="s">
        <v>163</v>
      </c>
      <c r="E323" s="37" t="s">
        <v>164</v>
      </c>
      <c r="F323" s="38" t="s">
        <v>3</v>
      </c>
      <c r="G323" s="39" t="s">
        <v>165</v>
      </c>
      <c r="H323" s="17" t="s">
        <v>166</v>
      </c>
      <c r="I323" s="39" t="s">
        <v>180</v>
      </c>
      <c r="J323" s="40" t="s">
        <v>4</v>
      </c>
    </row>
    <row r="324" spans="1:10" ht="15" customHeight="1" x14ac:dyDescent="0.3">
      <c r="A324" s="41">
        <f>A321+1</f>
        <v>242</v>
      </c>
      <c r="B324" s="42">
        <v>9788327166463</v>
      </c>
      <c r="C324" s="51" t="s">
        <v>324</v>
      </c>
      <c r="D324" s="52">
        <v>39.9</v>
      </c>
      <c r="E324" s="12">
        <f t="shared" ref="E324:E344" si="118">ROUND(D324*0.65,2)</f>
        <v>25.94</v>
      </c>
      <c r="F324" s="3">
        <f ca="1">IFERROR(__xludf.DUMMYFUNCTION("VLOOKUP($B145,IMPORTRANGE(""https://docs.google.com/spreadsheets/d/12kJeOb3DLWWg8o7sW1QICZ8qsKlcv9OfYjohcMhA61g/edit#gid=1661307685=share"", ""PUBLICAT!A:K""),5,0)"),5)</f>
        <v>5</v>
      </c>
      <c r="G324" s="19"/>
      <c r="H324" s="84">
        <f t="shared" ref="H324:H344" si="119">G324*D324</f>
        <v>0</v>
      </c>
      <c r="I324" s="47" t="s">
        <v>5</v>
      </c>
      <c r="J324" s="63" t="s">
        <v>437</v>
      </c>
    </row>
    <row r="325" spans="1:10" ht="15" customHeight="1" x14ac:dyDescent="0.3">
      <c r="A325" s="41">
        <f t="shared" si="117"/>
        <v>243</v>
      </c>
      <c r="B325" s="42">
        <v>9788327166500</v>
      </c>
      <c r="C325" s="51" t="s">
        <v>325</v>
      </c>
      <c r="D325" s="52">
        <v>39.9</v>
      </c>
      <c r="E325" s="12">
        <f t="shared" si="118"/>
        <v>25.94</v>
      </c>
      <c r="F325" s="3">
        <f ca="1">IFERROR(__xludf.DUMMYFUNCTION("VLOOKUP($B145,IMPORTRANGE(""https://docs.google.com/spreadsheets/d/12kJeOb3DLWWg8o7sW1QICZ8qsKlcv9OfYjohcMhA61g/edit#gid=1661307685=share"", ""PUBLICAT!A:K""),5,0)"),5)</f>
        <v>5</v>
      </c>
      <c r="G325" s="19"/>
      <c r="H325" s="84">
        <f t="shared" si="119"/>
        <v>0</v>
      </c>
      <c r="I325" s="47" t="s">
        <v>5</v>
      </c>
      <c r="J325" s="63" t="s">
        <v>438</v>
      </c>
    </row>
    <row r="326" spans="1:10" ht="15" customHeight="1" x14ac:dyDescent="0.3">
      <c r="A326" s="41">
        <f t="shared" si="117"/>
        <v>244</v>
      </c>
      <c r="B326" s="42">
        <v>9788327166517</v>
      </c>
      <c r="C326" s="51" t="s">
        <v>326</v>
      </c>
      <c r="D326" s="52">
        <v>39.9</v>
      </c>
      <c r="E326" s="12">
        <f t="shared" si="118"/>
        <v>25.94</v>
      </c>
      <c r="F326" s="3">
        <f ca="1">IFERROR(__xludf.DUMMYFUNCTION("VLOOKUP($B145,IMPORTRANGE(""https://docs.google.com/spreadsheets/d/12kJeOb3DLWWg8o7sW1QICZ8qsKlcv9OfYjohcMhA61g/edit#gid=1661307685=share"", ""PUBLICAT!A:K""),5,0)"),5)</f>
        <v>5</v>
      </c>
      <c r="G326" s="19"/>
      <c r="H326" s="84">
        <f t="shared" si="119"/>
        <v>0</v>
      </c>
      <c r="I326" s="47" t="s">
        <v>5</v>
      </c>
      <c r="J326" s="63" t="s">
        <v>439</v>
      </c>
    </row>
    <row r="327" spans="1:10" ht="15" customHeight="1" x14ac:dyDescent="0.3">
      <c r="A327" s="41">
        <f t="shared" si="117"/>
        <v>245</v>
      </c>
      <c r="B327" s="42">
        <v>9788327164599</v>
      </c>
      <c r="C327" s="51" t="s">
        <v>327</v>
      </c>
      <c r="D327" s="52">
        <v>39.9</v>
      </c>
      <c r="E327" s="12">
        <f t="shared" si="118"/>
        <v>25.94</v>
      </c>
      <c r="F327" s="3">
        <f ca="1">IFERROR(__xludf.DUMMYFUNCTION("VLOOKUP($B145,IMPORTRANGE(""https://docs.google.com/spreadsheets/d/12kJeOb3DLWWg8o7sW1QICZ8qsKlcv9OfYjohcMhA61g/edit#gid=1661307685=share"", ""PUBLICAT!A:K""),5,0)"),5)</f>
        <v>5</v>
      </c>
      <c r="G327" s="19"/>
      <c r="H327" s="84">
        <f t="shared" si="119"/>
        <v>0</v>
      </c>
      <c r="I327" s="47" t="s">
        <v>5</v>
      </c>
      <c r="J327" s="63" t="s">
        <v>440</v>
      </c>
    </row>
    <row r="328" spans="1:10" ht="15" customHeight="1" x14ac:dyDescent="0.3">
      <c r="A328" s="41">
        <f t="shared" si="117"/>
        <v>246</v>
      </c>
      <c r="B328" s="42">
        <v>9788327164704</v>
      </c>
      <c r="C328" s="51" t="s">
        <v>329</v>
      </c>
      <c r="D328" s="52">
        <v>39.9</v>
      </c>
      <c r="E328" s="12">
        <f t="shared" si="118"/>
        <v>25.94</v>
      </c>
      <c r="F328" s="3">
        <f ca="1">IFERROR(__xludf.DUMMYFUNCTION("VLOOKUP($B145,IMPORTRANGE(""https://docs.google.com/spreadsheets/d/12kJeOb3DLWWg8o7sW1QICZ8qsKlcv9OfYjohcMhA61g/edit#gid=1661307685=share"", ""PUBLICAT!A:K""),5,0)"),5)</f>
        <v>5</v>
      </c>
      <c r="G328" s="19"/>
      <c r="H328" s="84">
        <f t="shared" si="119"/>
        <v>0</v>
      </c>
      <c r="I328" s="47" t="s">
        <v>5</v>
      </c>
      <c r="J328" s="63" t="s">
        <v>441</v>
      </c>
    </row>
    <row r="329" spans="1:10" ht="15" customHeight="1" x14ac:dyDescent="0.3">
      <c r="A329" s="41">
        <f t="shared" si="117"/>
        <v>247</v>
      </c>
      <c r="B329" s="42">
        <v>9788327166074</v>
      </c>
      <c r="C329" s="51" t="s">
        <v>328</v>
      </c>
      <c r="D329" s="52">
        <v>39.9</v>
      </c>
      <c r="E329" s="12">
        <f t="shared" si="118"/>
        <v>25.94</v>
      </c>
      <c r="F329" s="3">
        <f ca="1">IFERROR(__xludf.DUMMYFUNCTION("VLOOKUP($B145,IMPORTRANGE(""https://docs.google.com/spreadsheets/d/12kJeOb3DLWWg8o7sW1QICZ8qsKlcv9OfYjohcMhA61g/edit#gid=1661307685=share"", ""PUBLICAT!A:K""),5,0)"),5)</f>
        <v>5</v>
      </c>
      <c r="G329" s="19"/>
      <c r="H329" s="84">
        <f t="shared" si="119"/>
        <v>0</v>
      </c>
      <c r="I329" s="47" t="s">
        <v>5</v>
      </c>
      <c r="J329" s="63" t="s">
        <v>442</v>
      </c>
    </row>
    <row r="330" spans="1:10" ht="15" customHeight="1" x14ac:dyDescent="0.3">
      <c r="A330" s="41">
        <f t="shared" si="117"/>
        <v>248</v>
      </c>
      <c r="B330" s="42">
        <v>9788327166159</v>
      </c>
      <c r="C330" s="51" t="s">
        <v>330</v>
      </c>
      <c r="D330" s="52">
        <v>49.9</v>
      </c>
      <c r="E330" s="12">
        <f t="shared" si="118"/>
        <v>32.44</v>
      </c>
      <c r="F330" s="3">
        <f ca="1">IFERROR(__xludf.DUMMYFUNCTION("VLOOKUP($B145,IMPORTRANGE(""https://docs.google.com/spreadsheets/d/12kJeOb3DLWWg8o7sW1QICZ8qsKlcv9OfYjohcMhA61g/edit#gid=1661307685=share"", ""PUBLICAT!A:K""),5,0)"),5)</f>
        <v>5</v>
      </c>
      <c r="G330" s="19"/>
      <c r="H330" s="84">
        <f t="shared" si="119"/>
        <v>0</v>
      </c>
      <c r="I330" s="47" t="s">
        <v>5</v>
      </c>
      <c r="J330" s="63" t="s">
        <v>443</v>
      </c>
    </row>
    <row r="331" spans="1:10" ht="15" customHeight="1" x14ac:dyDescent="0.3">
      <c r="A331" s="41">
        <f t="shared" si="117"/>
        <v>249</v>
      </c>
      <c r="B331" s="42">
        <v>9788327161956</v>
      </c>
      <c r="C331" s="51" t="s">
        <v>331</v>
      </c>
      <c r="D331" s="52">
        <v>49.9</v>
      </c>
      <c r="E331" s="12">
        <f t="shared" si="118"/>
        <v>32.44</v>
      </c>
      <c r="F331" s="3">
        <f ca="1">IFERROR(__xludf.DUMMYFUNCTION("VLOOKUP($B145,IMPORTRANGE(""https://docs.google.com/spreadsheets/d/12kJeOb3DLWWg8o7sW1QICZ8qsKlcv9OfYjohcMhA61g/edit#gid=1661307685=share"", ""PUBLICAT!A:K""),5,0)"),5)</f>
        <v>5</v>
      </c>
      <c r="G331" s="19"/>
      <c r="H331" s="84">
        <f t="shared" si="119"/>
        <v>0</v>
      </c>
      <c r="I331" s="47" t="s">
        <v>5</v>
      </c>
      <c r="J331" s="63" t="s">
        <v>444</v>
      </c>
    </row>
    <row r="332" spans="1:10" ht="15" customHeight="1" x14ac:dyDescent="0.3">
      <c r="A332" s="41">
        <f t="shared" si="117"/>
        <v>250</v>
      </c>
      <c r="B332" s="42">
        <v>9788327167552</v>
      </c>
      <c r="C332" s="51" t="s">
        <v>332</v>
      </c>
      <c r="D332" s="52">
        <v>44.9</v>
      </c>
      <c r="E332" s="12">
        <f t="shared" si="118"/>
        <v>29.19</v>
      </c>
      <c r="F332" s="3">
        <f ca="1">IFERROR(__xludf.DUMMYFUNCTION("VLOOKUP($B145,IMPORTRANGE(""https://docs.google.com/spreadsheets/d/12kJeOb3DLWWg8o7sW1QICZ8qsKlcv9OfYjohcMhA61g/edit#gid=1661307685=share"", ""PUBLICAT!A:K""),5,0)"),5)</f>
        <v>5</v>
      </c>
      <c r="G332" s="19"/>
      <c r="H332" s="84">
        <f t="shared" si="119"/>
        <v>0</v>
      </c>
      <c r="I332" s="47" t="s">
        <v>5</v>
      </c>
      <c r="J332" s="63" t="s">
        <v>445</v>
      </c>
    </row>
    <row r="333" spans="1:10" ht="15" customHeight="1" x14ac:dyDescent="0.3">
      <c r="A333" s="41">
        <f t="shared" si="117"/>
        <v>251</v>
      </c>
      <c r="B333" s="42">
        <v>9788327163578</v>
      </c>
      <c r="C333" s="51" t="s">
        <v>333</v>
      </c>
      <c r="D333" s="52">
        <v>59.9</v>
      </c>
      <c r="E333" s="12">
        <f t="shared" si="118"/>
        <v>38.94</v>
      </c>
      <c r="F333" s="3">
        <f ca="1">IFERROR(__xludf.DUMMYFUNCTION("VLOOKUP($B145,IMPORTRANGE(""https://docs.google.com/spreadsheets/d/12kJeOb3DLWWg8o7sW1QICZ8qsKlcv9OfYjohcMhA61g/edit#gid=1661307685=share"", ""PUBLICAT!A:K""),5,0)"),5)</f>
        <v>5</v>
      </c>
      <c r="G333" s="19"/>
      <c r="H333" s="84">
        <f t="shared" si="119"/>
        <v>0</v>
      </c>
      <c r="I333" s="47" t="s">
        <v>5</v>
      </c>
      <c r="J333" s="63" t="s">
        <v>446</v>
      </c>
    </row>
    <row r="334" spans="1:10" ht="15" customHeight="1" x14ac:dyDescent="0.3">
      <c r="A334" s="41">
        <f t="shared" si="117"/>
        <v>252</v>
      </c>
      <c r="B334" s="42">
        <v>9788327163998</v>
      </c>
      <c r="C334" s="51" t="s">
        <v>334</v>
      </c>
      <c r="D334" s="52">
        <v>59.9</v>
      </c>
      <c r="E334" s="12">
        <f t="shared" si="118"/>
        <v>38.94</v>
      </c>
      <c r="F334" s="3">
        <f ca="1">IFERROR(__xludf.DUMMYFUNCTION("VLOOKUP($B145,IMPORTRANGE(""https://docs.google.com/spreadsheets/d/12kJeOb3DLWWg8o7sW1QICZ8qsKlcv9OfYjohcMhA61g/edit#gid=1661307685=share"", ""PUBLICAT!A:K""),5,0)"),5)</f>
        <v>5</v>
      </c>
      <c r="G334" s="19"/>
      <c r="H334" s="84">
        <f t="shared" si="119"/>
        <v>0</v>
      </c>
      <c r="I334" s="47" t="s">
        <v>5</v>
      </c>
      <c r="J334" s="63" t="s">
        <v>447</v>
      </c>
    </row>
    <row r="335" spans="1:10" ht="15" customHeight="1" x14ac:dyDescent="0.3">
      <c r="A335" s="41">
        <f t="shared" si="117"/>
        <v>253</v>
      </c>
      <c r="B335" s="42">
        <v>9788327163295</v>
      </c>
      <c r="C335" s="51" t="s">
        <v>335</v>
      </c>
      <c r="D335" s="52">
        <v>59.9</v>
      </c>
      <c r="E335" s="12">
        <f t="shared" si="118"/>
        <v>38.94</v>
      </c>
      <c r="F335" s="3">
        <f ca="1">IFERROR(__xludf.DUMMYFUNCTION("VLOOKUP($B145,IMPORTRANGE(""https://docs.google.com/spreadsheets/d/12kJeOb3DLWWg8o7sW1QICZ8qsKlcv9OfYjohcMhA61g/edit#gid=1661307685=share"", ""PUBLICAT!A:K""),5,0)"),5)</f>
        <v>5</v>
      </c>
      <c r="G335" s="19"/>
      <c r="H335" s="84">
        <f t="shared" si="119"/>
        <v>0</v>
      </c>
      <c r="I335" s="47" t="s">
        <v>5</v>
      </c>
      <c r="J335" s="63" t="s">
        <v>448</v>
      </c>
    </row>
    <row r="336" spans="1:10" ht="15" customHeight="1" x14ac:dyDescent="0.3">
      <c r="A336" s="41">
        <f t="shared" si="117"/>
        <v>254</v>
      </c>
      <c r="B336" s="42">
        <v>9788327163264</v>
      </c>
      <c r="C336" s="51" t="s">
        <v>336</v>
      </c>
      <c r="D336" s="52">
        <v>59.9</v>
      </c>
      <c r="E336" s="12">
        <f t="shared" si="118"/>
        <v>38.94</v>
      </c>
      <c r="F336" s="3">
        <f ca="1">IFERROR(__xludf.DUMMYFUNCTION("VLOOKUP($B145,IMPORTRANGE(""https://docs.google.com/spreadsheets/d/12kJeOb3DLWWg8o7sW1QICZ8qsKlcv9OfYjohcMhA61g/edit#gid=1661307685=share"", ""PUBLICAT!A:K""),5,0)"),5)</f>
        <v>5</v>
      </c>
      <c r="G336" s="19"/>
      <c r="H336" s="84">
        <f t="shared" si="119"/>
        <v>0</v>
      </c>
      <c r="I336" s="47" t="s">
        <v>5</v>
      </c>
      <c r="J336" s="63" t="s">
        <v>449</v>
      </c>
    </row>
    <row r="337" spans="1:10" ht="15" customHeight="1" x14ac:dyDescent="0.3">
      <c r="A337" s="41">
        <f t="shared" si="117"/>
        <v>255</v>
      </c>
      <c r="B337" s="42">
        <v>9788327163288</v>
      </c>
      <c r="C337" s="51" t="s">
        <v>337</v>
      </c>
      <c r="D337" s="52">
        <v>59.9</v>
      </c>
      <c r="E337" s="12">
        <f t="shared" si="118"/>
        <v>38.94</v>
      </c>
      <c r="F337" s="3">
        <f ca="1">IFERROR(__xludf.DUMMYFUNCTION("VLOOKUP($B145,IMPORTRANGE(""https://docs.google.com/spreadsheets/d/12kJeOb3DLWWg8o7sW1QICZ8qsKlcv9OfYjohcMhA61g/edit#gid=1661307685=share"", ""PUBLICAT!A:K""),5,0)"),5)</f>
        <v>5</v>
      </c>
      <c r="G337" s="19"/>
      <c r="H337" s="84">
        <f t="shared" si="119"/>
        <v>0</v>
      </c>
      <c r="I337" s="47" t="s">
        <v>5</v>
      </c>
      <c r="J337" s="63" t="s">
        <v>450</v>
      </c>
    </row>
    <row r="338" spans="1:10" ht="15" customHeight="1" x14ac:dyDescent="0.3">
      <c r="A338" s="41">
        <f t="shared" si="117"/>
        <v>256</v>
      </c>
      <c r="B338" s="42">
        <v>9788327163271</v>
      </c>
      <c r="C338" s="51" t="s">
        <v>338</v>
      </c>
      <c r="D338" s="52">
        <v>59.9</v>
      </c>
      <c r="E338" s="12">
        <f t="shared" si="118"/>
        <v>38.94</v>
      </c>
      <c r="F338" s="3">
        <f ca="1">IFERROR(__xludf.DUMMYFUNCTION("VLOOKUP($B145,IMPORTRANGE(""https://docs.google.com/spreadsheets/d/12kJeOb3DLWWg8o7sW1QICZ8qsKlcv9OfYjohcMhA61g/edit#gid=1661307685=share"", ""PUBLICAT!A:K""),5,0)"),5)</f>
        <v>5</v>
      </c>
      <c r="G338" s="19"/>
      <c r="H338" s="84">
        <f t="shared" si="119"/>
        <v>0</v>
      </c>
      <c r="I338" s="47" t="s">
        <v>5</v>
      </c>
      <c r="J338" s="63" t="s">
        <v>451</v>
      </c>
    </row>
    <row r="339" spans="1:10" ht="15" customHeight="1" x14ac:dyDescent="0.3">
      <c r="A339" s="41">
        <f t="shared" si="117"/>
        <v>257</v>
      </c>
      <c r="B339" s="42">
        <v>9788327166333</v>
      </c>
      <c r="C339" s="51" t="s">
        <v>341</v>
      </c>
      <c r="D339" s="52">
        <v>69.900000000000006</v>
      </c>
      <c r="E339" s="12">
        <f t="shared" si="118"/>
        <v>45.44</v>
      </c>
      <c r="F339" s="3">
        <f ca="1">IFERROR(__xludf.DUMMYFUNCTION("VLOOKUP($B145,IMPORTRANGE(""https://docs.google.com/spreadsheets/d/12kJeOb3DLWWg8o7sW1QICZ8qsKlcv9OfYjohcMhA61g/edit#gid=1661307685=share"", ""PUBLICAT!A:K""),5,0)"),5)</f>
        <v>5</v>
      </c>
      <c r="G339" s="19"/>
      <c r="H339" s="84">
        <f t="shared" si="119"/>
        <v>0</v>
      </c>
      <c r="I339" s="47" t="s">
        <v>5</v>
      </c>
      <c r="J339" s="63" t="s">
        <v>452</v>
      </c>
    </row>
    <row r="340" spans="1:10" ht="15" customHeight="1" x14ac:dyDescent="0.3">
      <c r="A340" s="41">
        <f t="shared" si="117"/>
        <v>258</v>
      </c>
      <c r="B340" s="42">
        <v>9788327166647</v>
      </c>
      <c r="C340" s="51" t="s">
        <v>340</v>
      </c>
      <c r="D340" s="52">
        <v>69.900000000000006</v>
      </c>
      <c r="E340" s="12">
        <f t="shared" si="118"/>
        <v>45.44</v>
      </c>
      <c r="F340" s="3">
        <f ca="1">IFERROR(__xludf.DUMMYFUNCTION("VLOOKUP($B145,IMPORTRANGE(""https://docs.google.com/spreadsheets/d/12kJeOb3DLWWg8o7sW1QICZ8qsKlcv9OfYjohcMhA61g/edit#gid=1661307685=share"", ""PUBLICAT!A:K""),5,0)"),5)</f>
        <v>5</v>
      </c>
      <c r="G340" s="19"/>
      <c r="H340" s="84">
        <f t="shared" si="119"/>
        <v>0</v>
      </c>
      <c r="I340" s="47" t="s">
        <v>5</v>
      </c>
      <c r="J340" s="63" t="s">
        <v>453</v>
      </c>
    </row>
    <row r="341" spans="1:10" ht="15" customHeight="1" x14ac:dyDescent="0.3">
      <c r="A341" s="41">
        <f t="shared" si="117"/>
        <v>259</v>
      </c>
      <c r="B341" s="42">
        <v>9788327167767</v>
      </c>
      <c r="C341" s="51" t="s">
        <v>339</v>
      </c>
      <c r="D341" s="52">
        <v>69.900000000000006</v>
      </c>
      <c r="E341" s="12">
        <f t="shared" si="118"/>
        <v>45.44</v>
      </c>
      <c r="F341" s="3">
        <f ca="1">IFERROR(__xludf.DUMMYFUNCTION("VLOOKUP($B145,IMPORTRANGE(""https://docs.google.com/spreadsheets/d/12kJeOb3DLWWg8o7sW1QICZ8qsKlcv9OfYjohcMhA61g/edit#gid=1661307685=share"", ""PUBLICAT!A:K""),5,0)"),5)</f>
        <v>5</v>
      </c>
      <c r="G341" s="19"/>
      <c r="H341" s="84">
        <f t="shared" si="119"/>
        <v>0</v>
      </c>
      <c r="I341" s="47" t="s">
        <v>5</v>
      </c>
      <c r="J341" s="63" t="s">
        <v>454</v>
      </c>
    </row>
    <row r="342" spans="1:10" ht="15" customHeight="1" x14ac:dyDescent="0.3">
      <c r="A342" s="41">
        <f t="shared" si="117"/>
        <v>260</v>
      </c>
      <c r="B342" s="42">
        <v>9788327167880</v>
      </c>
      <c r="C342" s="51" t="s">
        <v>342</v>
      </c>
      <c r="D342" s="52">
        <v>69.900000000000006</v>
      </c>
      <c r="E342" s="12">
        <f t="shared" si="118"/>
        <v>45.44</v>
      </c>
      <c r="F342" s="3">
        <f ca="1">IFERROR(__xludf.DUMMYFUNCTION("VLOOKUP($B145,IMPORTRANGE(""https://docs.google.com/spreadsheets/d/12kJeOb3DLWWg8o7sW1QICZ8qsKlcv9OfYjohcMhA61g/edit#gid=1661307685=share"", ""PUBLICAT!A:K""),5,0)"),5)</f>
        <v>5</v>
      </c>
      <c r="G342" s="19"/>
      <c r="H342" s="84">
        <f t="shared" si="119"/>
        <v>0</v>
      </c>
      <c r="I342" s="47" t="s">
        <v>5</v>
      </c>
      <c r="J342" s="63" t="s">
        <v>455</v>
      </c>
    </row>
    <row r="343" spans="1:10" ht="15" customHeight="1" x14ac:dyDescent="0.3">
      <c r="A343" s="41">
        <f t="shared" si="117"/>
        <v>261</v>
      </c>
      <c r="B343" s="42">
        <v>9788327166135</v>
      </c>
      <c r="C343" s="51" t="s">
        <v>343</v>
      </c>
      <c r="D343" s="52">
        <v>47.9</v>
      </c>
      <c r="E343" s="12">
        <f t="shared" si="118"/>
        <v>31.14</v>
      </c>
      <c r="F343" s="3">
        <f ca="1">IFERROR(__xludf.DUMMYFUNCTION("VLOOKUP($B145,IMPORTRANGE(""https://docs.google.com/spreadsheets/d/12kJeOb3DLWWg8o7sW1QICZ8qsKlcv9OfYjohcMhA61g/edit#gid=1661307685=share"", ""PUBLICAT!A:K""),5,0)"),5)</f>
        <v>5</v>
      </c>
      <c r="G343" s="19"/>
      <c r="H343" s="84">
        <f t="shared" si="119"/>
        <v>0</v>
      </c>
      <c r="I343" s="47" t="s">
        <v>5</v>
      </c>
      <c r="J343" s="63" t="s">
        <v>456</v>
      </c>
    </row>
    <row r="344" spans="1:10" ht="15" customHeight="1" x14ac:dyDescent="0.3">
      <c r="A344" s="41">
        <f t="shared" si="117"/>
        <v>262</v>
      </c>
      <c r="B344" s="42">
        <v>9788327165886</v>
      </c>
      <c r="C344" s="51" t="s">
        <v>344</v>
      </c>
      <c r="D344" s="52">
        <v>46.9</v>
      </c>
      <c r="E344" s="12">
        <f t="shared" si="118"/>
        <v>30.49</v>
      </c>
      <c r="F344" s="3">
        <f ca="1">IFERROR(__xludf.DUMMYFUNCTION("VLOOKUP($B145,IMPORTRANGE(""https://docs.google.com/spreadsheets/d/12kJeOb3DLWWg8o7sW1QICZ8qsKlcv9OfYjohcMhA61g/edit#gid=1661307685=share"", ""PUBLICAT!A:K""),5,0)"),5)</f>
        <v>5</v>
      </c>
      <c r="G344" s="19"/>
      <c r="H344" s="84">
        <f t="shared" si="119"/>
        <v>0</v>
      </c>
      <c r="I344" s="47" t="s">
        <v>5</v>
      </c>
      <c r="J344" s="63" t="s">
        <v>457</v>
      </c>
    </row>
    <row r="346" spans="1:10" ht="21" x14ac:dyDescent="0.4">
      <c r="D346" s="116" t="s">
        <v>458</v>
      </c>
    </row>
    <row r="347" spans="1:10" ht="21" x14ac:dyDescent="0.4">
      <c r="D347" s="116" t="s">
        <v>460</v>
      </c>
    </row>
    <row r="348" spans="1:10" ht="21" x14ac:dyDescent="0.4">
      <c r="D348" s="116" t="s">
        <v>459</v>
      </c>
    </row>
    <row r="349" spans="1:10" ht="21" x14ac:dyDescent="0.4">
      <c r="D349" s="116" t="s">
        <v>461</v>
      </c>
    </row>
    <row r="351" spans="1:10" ht="27" customHeight="1" x14ac:dyDescent="0.3">
      <c r="A351" s="117" t="s">
        <v>352</v>
      </c>
      <c r="B351" s="117"/>
      <c r="C351" s="117"/>
      <c r="D351" s="117"/>
      <c r="E351" s="117"/>
      <c r="F351" s="117"/>
      <c r="G351" s="117"/>
      <c r="H351" s="117"/>
      <c r="I351" s="117"/>
      <c r="J351" s="117"/>
    </row>
    <row r="353" spans="1:10" ht="28.2" customHeight="1" x14ac:dyDescent="0.4">
      <c r="C353" s="112" t="s">
        <v>346</v>
      </c>
      <c r="D353" s="118">
        <f>SUM(H8:H344)</f>
        <v>0</v>
      </c>
      <c r="E353" s="119"/>
    </row>
    <row r="354" spans="1:10" ht="18" x14ac:dyDescent="0.35">
      <c r="C354" s="106" t="s">
        <v>348</v>
      </c>
      <c r="D354" s="120" t="s">
        <v>347</v>
      </c>
      <c r="E354" s="120"/>
    </row>
    <row r="356" spans="1:10" ht="15" customHeight="1" x14ac:dyDescent="0.3">
      <c r="A356" s="121" t="s">
        <v>349</v>
      </c>
      <c r="B356" s="122"/>
      <c r="C356" s="122"/>
      <c r="D356" s="122"/>
      <c r="E356" s="122"/>
      <c r="F356" s="122"/>
      <c r="G356" s="122"/>
      <c r="H356" s="122"/>
      <c r="I356" s="122"/>
      <c r="J356" s="123"/>
    </row>
    <row r="357" spans="1:10" ht="15" customHeight="1" x14ac:dyDescent="0.3">
      <c r="A357" s="124"/>
      <c r="B357" s="125"/>
      <c r="C357" s="125"/>
      <c r="D357" s="125"/>
      <c r="E357" s="125"/>
      <c r="F357" s="125"/>
      <c r="G357" s="125"/>
      <c r="H357" s="125"/>
      <c r="I357" s="125"/>
      <c r="J357" s="126"/>
    </row>
    <row r="358" spans="1:10" ht="47.4" customHeight="1" x14ac:dyDescent="0.35">
      <c r="G358" s="106" t="s">
        <v>350</v>
      </c>
      <c r="H358" s="86" t="s">
        <v>351</v>
      </c>
    </row>
    <row r="359" spans="1:10" ht="15" customHeight="1" x14ac:dyDescent="0.35">
      <c r="A359" s="107"/>
    </row>
    <row r="361" spans="1:10" ht="24" customHeight="1" x14ac:dyDescent="0.4">
      <c r="A361" s="107" t="s">
        <v>353</v>
      </c>
      <c r="D361" s="111" t="s">
        <v>354</v>
      </c>
      <c r="E361" s="18"/>
      <c r="F361" s="18"/>
      <c r="I361" s="18"/>
    </row>
    <row r="362" spans="1:10" ht="31.2" customHeight="1" x14ac:dyDescent="0.4">
      <c r="A362" s="107"/>
      <c r="D362" s="111" t="s">
        <v>359</v>
      </c>
    </row>
    <row r="364" spans="1:10" ht="18" x14ac:dyDescent="0.35">
      <c r="G364" s="107" t="s">
        <v>355</v>
      </c>
    </row>
    <row r="365" spans="1:10" ht="18" x14ac:dyDescent="0.35">
      <c r="G365" s="107" t="s">
        <v>356</v>
      </c>
    </row>
    <row r="366" spans="1:10" ht="18" x14ac:dyDescent="0.35">
      <c r="G366" s="107" t="s">
        <v>357</v>
      </c>
    </row>
    <row r="367" spans="1:10" ht="24.6" customHeight="1" x14ac:dyDescent="0.35">
      <c r="G367" s="108" t="s">
        <v>358</v>
      </c>
    </row>
  </sheetData>
  <autoFilter ref="A7:J344" xr:uid="{00000000-0001-0000-0000-000000000000}"/>
  <sortState xmlns:xlrd2="http://schemas.microsoft.com/office/spreadsheetml/2017/richdata2" ref="B8:J11">
    <sortCondition ref="C8:C11"/>
  </sortState>
  <mergeCells count="14">
    <mergeCell ref="A351:J351"/>
    <mergeCell ref="D353:E353"/>
    <mergeCell ref="D354:E354"/>
    <mergeCell ref="A356:J357"/>
    <mergeCell ref="A1:J1"/>
    <mergeCell ref="A3:B3"/>
    <mergeCell ref="A4:B4"/>
    <mergeCell ref="C4:G4"/>
    <mergeCell ref="I4:J4"/>
    <mergeCell ref="C3:G3"/>
    <mergeCell ref="I3:J3"/>
    <mergeCell ref="A2:B2"/>
    <mergeCell ref="C2:G2"/>
    <mergeCell ref="I2:J2"/>
  </mergeCells>
  <hyperlinks>
    <hyperlink ref="D361" r:id="rId1" xr:uid="{DA32176D-6F4E-4A89-9FEF-8931F01E0BCD}"/>
    <hyperlink ref="G367" r:id="rId2" display="mailto:m.sekula@bedeker.eu" xr:uid="{5A02A0AC-8ECE-44FD-9785-A4A83C6FA016}"/>
    <hyperlink ref="D346" r:id="rId3" display="https://drive.google.com/file/d/1oNsVn8vE5ROKWnd6-TnC_R4mCfpnbIcU/view?usp=sharing" xr:uid="{6FA9891B-AA4B-4EFE-AF3E-BB2E3F95FF06}"/>
    <hyperlink ref="D348" r:id="rId4" display="https://drive.google.com/file/d/12IbHeF68clBSV8vaj8zNj12iEvGEmONq/view?usp=sharing" xr:uid="{5481CC33-C300-4B55-B91F-6D968AF578E2}"/>
  </hyperlinks>
  <pageMargins left="0.31496062992125984" right="0.74803149606299213" top="0.70866141732283472" bottom="0.70866141732283472" header="0" footer="0"/>
  <pageSetup paperSize="9" scale="62" fitToHeight="0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OGÓLNA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Krzysztof Bujalski</cp:lastModifiedBy>
  <cp:lastPrinted>2024-10-02T11:14:41Z</cp:lastPrinted>
  <dcterms:modified xsi:type="dcterms:W3CDTF">2024-10-02T15:28:37Z</dcterms:modified>
</cp:coreProperties>
</file>